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30" windowWidth="15480" windowHeight="11580" activeTab="2"/>
  </bookViews>
  <sheets>
    <sheet name="Текущие" sheetId="12" r:id="rId1"/>
    <sheet name="Базовые" sheetId="11" r:id="rId2"/>
    <sheet name="Расчет с 30% снижением" sheetId="1" r:id="rId3"/>
    <sheet name="НМЦ лота" sheetId="2" r:id="rId4"/>
  </sheets>
  <definedNames>
    <definedName name="_xlnm.Print_Area" localSheetId="1">Базовые!$A$1:$H$71</definedName>
    <definedName name="_xlnm.Print_Area" localSheetId="2">'Расчет с 30% снижением'!$A$1:$R$55,'Расчет с 30% снижением'!$T$35:$AR$45</definedName>
    <definedName name="_xlnm.Print_Area" localSheetId="0">Текущие!$A:$H</definedName>
  </definedNames>
  <calcPr calcId="125725"/>
</workbook>
</file>

<file path=xl/calcChain.xml><?xml version="1.0" encoding="utf-8"?>
<calcChain xmlns="http://schemas.openxmlformats.org/spreadsheetml/2006/main">
  <c r="V37" i="1"/>
  <c r="P41"/>
  <c r="O41"/>
  <c r="N41"/>
  <c r="Q27"/>
  <c r="O25"/>
  <c r="N25"/>
  <c r="D33" i="2"/>
  <c r="E33"/>
  <c r="F33"/>
  <c r="H31"/>
  <c r="H16"/>
  <c r="H17"/>
  <c r="H18"/>
  <c r="H19"/>
  <c r="H20"/>
  <c r="H21"/>
  <c r="H22"/>
  <c r="H23"/>
  <c r="R17" i="1"/>
  <c r="H17"/>
  <c r="M17"/>
  <c r="H32" i="2"/>
  <c r="F31"/>
  <c r="E32"/>
  <c r="E31" s="1"/>
  <c r="G41"/>
  <c r="F41"/>
  <c r="E41"/>
  <c r="D41"/>
  <c r="H57" i="12" l="1"/>
  <c r="G59"/>
  <c r="H59" s="1"/>
  <c r="G38" i="1"/>
  <c r="E38" i="2"/>
  <c r="D38"/>
  <c r="O17" i="1"/>
  <c r="K17"/>
  <c r="F23" i="2" s="1"/>
  <c r="J17" i="1"/>
  <c r="E23" i="2" s="1"/>
  <c r="K16" i="1"/>
  <c r="P16" s="1"/>
  <c r="J16"/>
  <c r="J18" s="1"/>
  <c r="I16"/>
  <c r="N16" s="1"/>
  <c r="F17"/>
  <c r="E17"/>
  <c r="F16"/>
  <c r="F18" s="1"/>
  <c r="E16"/>
  <c r="E18" s="1"/>
  <c r="D16"/>
  <c r="K18" l="1"/>
  <c r="P17"/>
  <c r="P18" s="1"/>
  <c r="O16"/>
  <c r="O18" s="1"/>
  <c r="L36"/>
  <c r="L37"/>
  <c r="G13" i="2" l="1"/>
  <c r="G32" s="1"/>
  <c r="H13" i="1"/>
  <c r="G14"/>
  <c r="D2" i="2"/>
  <c r="A6"/>
  <c r="B29"/>
  <c r="M13" i="1" l="1"/>
  <c r="M14" s="1"/>
  <c r="H14"/>
  <c r="L14"/>
  <c r="Q13"/>
  <c r="Q14" s="1"/>
  <c r="R14" s="1"/>
  <c r="Q36"/>
  <c r="R13" l="1"/>
  <c r="Q37" l="1"/>
  <c r="R37" l="1"/>
  <c r="M37"/>
  <c r="L38" l="1"/>
  <c r="H37" l="1"/>
  <c r="I18" l="1"/>
  <c r="D18"/>
  <c r="N18" l="1"/>
  <c r="E15" i="2"/>
  <c r="Q38" i="1"/>
  <c r="L16"/>
  <c r="E25" i="2" l="1"/>
  <c r="E28" s="1"/>
  <c r="G33"/>
  <c r="L18" i="1"/>
  <c r="F15" i="2"/>
  <c r="F32" s="1"/>
  <c r="Q16" i="1"/>
  <c r="M18" l="1"/>
  <c r="G31" i="2"/>
  <c r="Q18" i="1"/>
  <c r="Q19" s="1"/>
  <c r="D15" i="2"/>
  <c r="H13"/>
  <c r="D25" l="1"/>
  <c r="D28" s="1"/>
  <c r="F35"/>
  <c r="H30"/>
  <c r="G35"/>
  <c r="G40" s="1"/>
  <c r="H15"/>
  <c r="D32" l="1"/>
  <c r="G39"/>
  <c r="G42" s="1"/>
  <c r="G44" s="1"/>
  <c r="G45" s="1"/>
  <c r="G46" s="1"/>
  <c r="F40"/>
  <c r="H25"/>
  <c r="G34"/>
  <c r="D35" l="1"/>
  <c r="D40" s="1"/>
  <c r="D39" s="1"/>
  <c r="D31"/>
  <c r="H33"/>
  <c r="E35"/>
  <c r="E40" s="1"/>
  <c r="H28"/>
  <c r="D34" l="1"/>
  <c r="E34"/>
  <c r="E39" l="1"/>
  <c r="E42" s="1"/>
  <c r="D42"/>
  <c r="D44" s="1"/>
  <c r="H35"/>
  <c r="E44" l="1"/>
  <c r="E45" s="1"/>
  <c r="E46" s="1"/>
  <c r="H40"/>
  <c r="AP45" i="1" l="1"/>
  <c r="D45" i="2"/>
  <c r="D46" l="1"/>
  <c r="P28" i="1" l="1"/>
  <c r="H16" l="1"/>
  <c r="R16" l="1"/>
  <c r="N38" l="1"/>
  <c r="Q23"/>
  <c r="R18"/>
  <c r="M16" l="1"/>
  <c r="G18"/>
  <c r="G19" l="1"/>
  <c r="G23"/>
  <c r="F19"/>
  <c r="F22" s="1"/>
  <c r="F23" s="1"/>
  <c r="M36" l="1"/>
  <c r="Z45" s="1"/>
  <c r="H36"/>
  <c r="H18" l="1"/>
  <c r="E19" l="1"/>
  <c r="E21" s="1"/>
  <c r="D19"/>
  <c r="D21" s="1"/>
  <c r="H21" l="1"/>
  <c r="D22"/>
  <c r="D23" l="1"/>
  <c r="P38"/>
  <c r="O38"/>
  <c r="P33"/>
  <c r="O33"/>
  <c r="N33"/>
  <c r="P22"/>
  <c r="D25" l="1"/>
  <c r="R38"/>
  <c r="AE45" s="1"/>
  <c r="AJ45" s="1"/>
  <c r="R36"/>
  <c r="V36" s="1"/>
  <c r="V35" s="1"/>
  <c r="K38" l="1"/>
  <c r="J38"/>
  <c r="I38"/>
  <c r="F38"/>
  <c r="E38"/>
  <c r="D38"/>
  <c r="K33"/>
  <c r="J33"/>
  <c r="I33"/>
  <c r="F33"/>
  <c r="E33"/>
  <c r="D33"/>
  <c r="K28"/>
  <c r="F28"/>
  <c r="L22"/>
  <c r="L23" s="1"/>
  <c r="K22"/>
  <c r="L19"/>
  <c r="H19"/>
  <c r="P23" l="1"/>
  <c r="P29" s="1"/>
  <c r="P34" s="1"/>
  <c r="P19"/>
  <c r="J19"/>
  <c r="J21" s="1"/>
  <c r="E22"/>
  <c r="H22" s="1"/>
  <c r="K19"/>
  <c r="I19"/>
  <c r="I21" s="1"/>
  <c r="K23"/>
  <c r="K29" s="1"/>
  <c r="K34" s="1"/>
  <c r="K39" s="1"/>
  <c r="K41" s="1"/>
  <c r="F29"/>
  <c r="F34" s="1"/>
  <c r="F39" s="1"/>
  <c r="F41" s="1"/>
  <c r="A25"/>
  <c r="I22" l="1"/>
  <c r="I23" s="1"/>
  <c r="I25" s="1"/>
  <c r="J22"/>
  <c r="P39"/>
  <c r="M19"/>
  <c r="O19"/>
  <c r="O21" s="1"/>
  <c r="E23"/>
  <c r="K42"/>
  <c r="K45" s="1"/>
  <c r="AA45" s="1"/>
  <c r="F42"/>
  <c r="F45" s="1"/>
  <c r="V45" s="1"/>
  <c r="E25" l="1"/>
  <c r="E28" s="1"/>
  <c r="E29" s="1"/>
  <c r="O22"/>
  <c r="O23" s="1"/>
  <c r="J23"/>
  <c r="M22"/>
  <c r="M21"/>
  <c r="P42"/>
  <c r="P43" s="1"/>
  <c r="N19"/>
  <c r="N21" s="1"/>
  <c r="F46"/>
  <c r="F47" s="1"/>
  <c r="K46"/>
  <c r="K47" s="1"/>
  <c r="J25" l="1"/>
  <c r="M25" s="1"/>
  <c r="L27" s="1"/>
  <c r="P44"/>
  <c r="M23"/>
  <c r="I28"/>
  <c r="I29" s="1"/>
  <c r="R19"/>
  <c r="R21"/>
  <c r="E34"/>
  <c r="E39" s="1"/>
  <c r="E41" s="1"/>
  <c r="H23"/>
  <c r="A26"/>
  <c r="A27" s="1"/>
  <c r="J28" l="1"/>
  <c r="J29" s="1"/>
  <c r="J34" s="1"/>
  <c r="J39" s="1"/>
  <c r="J41" s="1"/>
  <c r="O28"/>
  <c r="O29" s="1"/>
  <c r="O34" s="1"/>
  <c r="O39" s="1"/>
  <c r="M26"/>
  <c r="AF45"/>
  <c r="N22"/>
  <c r="R22" s="1"/>
  <c r="AK45"/>
  <c r="P45"/>
  <c r="P46" s="1"/>
  <c r="P47" s="1"/>
  <c r="E42"/>
  <c r="E45" s="1"/>
  <c r="E46" s="1"/>
  <c r="E47" s="1"/>
  <c r="I34"/>
  <c r="I39" s="1"/>
  <c r="I41" s="1"/>
  <c r="H25"/>
  <c r="G27" s="1"/>
  <c r="D28"/>
  <c r="D29" s="1"/>
  <c r="O42" l="1"/>
  <c r="O43" s="1"/>
  <c r="M27"/>
  <c r="L28"/>
  <c r="M28" s="1"/>
  <c r="N23"/>
  <c r="J42"/>
  <c r="J45" s="1"/>
  <c r="J46" s="1"/>
  <c r="J47" s="1"/>
  <c r="O44" l="1"/>
  <c r="O45" s="1"/>
  <c r="O46" s="1"/>
  <c r="O47" s="1"/>
  <c r="L29"/>
  <c r="M29" s="1"/>
  <c r="H26"/>
  <c r="R23"/>
  <c r="D34"/>
  <c r="D39" s="1"/>
  <c r="D41" s="1"/>
  <c r="M38"/>
  <c r="L31" l="1"/>
  <c r="L32"/>
  <c r="M32" s="1"/>
  <c r="H27"/>
  <c r="G28"/>
  <c r="N28"/>
  <c r="N29" s="1"/>
  <c r="R25"/>
  <c r="A36"/>
  <c r="I42"/>
  <c r="L33" l="1"/>
  <c r="L34" s="1"/>
  <c r="L39" s="1"/>
  <c r="L41" s="1"/>
  <c r="M31"/>
  <c r="G29"/>
  <c r="H29" s="1"/>
  <c r="H28"/>
  <c r="M33"/>
  <c r="N34"/>
  <c r="N39" s="1"/>
  <c r="I45"/>
  <c r="AB45" s="1"/>
  <c r="D42"/>
  <c r="H38"/>
  <c r="U45" s="1"/>
  <c r="M34"/>
  <c r="G31" l="1"/>
  <c r="H31" s="1"/>
  <c r="G32"/>
  <c r="H32" s="1"/>
  <c r="R26"/>
  <c r="M41"/>
  <c r="M39"/>
  <c r="D45"/>
  <c r="W45" s="1"/>
  <c r="I46"/>
  <c r="G33" l="1"/>
  <c r="G34" s="1"/>
  <c r="G39" s="1"/>
  <c r="G41" s="1"/>
  <c r="I47"/>
  <c r="N42"/>
  <c r="N43" s="1"/>
  <c r="D46"/>
  <c r="D47" s="1"/>
  <c r="L42"/>
  <c r="N44" l="1"/>
  <c r="H34"/>
  <c r="H33"/>
  <c r="R27"/>
  <c r="Q28"/>
  <c r="Q29" s="1"/>
  <c r="R29" s="1"/>
  <c r="L45"/>
  <c r="M42"/>
  <c r="H41"/>
  <c r="H39"/>
  <c r="Q32" l="1"/>
  <c r="R32" s="1"/>
  <c r="Q31"/>
  <c r="R31"/>
  <c r="R28"/>
  <c r="AG45"/>
  <c r="L46"/>
  <c r="M46" s="1"/>
  <c r="M45"/>
  <c r="Y45" s="1"/>
  <c r="G42"/>
  <c r="Q33" l="1"/>
  <c r="R33" s="1"/>
  <c r="W40" s="1"/>
  <c r="AL45"/>
  <c r="N45"/>
  <c r="N46" s="1"/>
  <c r="G45"/>
  <c r="H42"/>
  <c r="L47"/>
  <c r="M47" s="1"/>
  <c r="Q34" l="1"/>
  <c r="R34" s="1"/>
  <c r="N47"/>
  <c r="G46"/>
  <c r="H46" s="1"/>
  <c r="H45"/>
  <c r="Q39" l="1"/>
  <c r="N51"/>
  <c r="T45"/>
  <c r="X45" s="1"/>
  <c r="AC45"/>
  <c r="G47"/>
  <c r="H47" s="1"/>
  <c r="Q41" l="1"/>
  <c r="Q42" s="1"/>
  <c r="Q43" s="1"/>
  <c r="Q44" s="1"/>
  <c r="R39"/>
  <c r="R41" l="1"/>
  <c r="R42"/>
  <c r="R43" l="1"/>
  <c r="F39" i="2" l="1"/>
  <c r="N52" i="1"/>
  <c r="AD45"/>
  <c r="AH45" s="1"/>
  <c r="Q45"/>
  <c r="R44"/>
  <c r="F34" i="2"/>
  <c r="H34" s="1"/>
  <c r="Q46" i="1" l="1"/>
  <c r="R46" s="1"/>
  <c r="R45"/>
  <c r="H39" i="2"/>
  <c r="F42"/>
  <c r="F44" l="1"/>
  <c r="H44" s="1"/>
  <c r="Q47" i="1"/>
  <c r="R47" s="1"/>
  <c r="N53"/>
  <c r="AI45"/>
  <c r="AM45" s="1"/>
  <c r="H42" i="2"/>
  <c r="AQ45" i="1" l="1"/>
  <c r="V39"/>
  <c r="F45" i="2"/>
  <c r="H45" s="1"/>
  <c r="F46" l="1"/>
  <c r="H46" s="1"/>
  <c r="V38" i="1" l="1"/>
  <c r="V40" l="1"/>
  <c r="AN45"/>
  <c r="AR45" s="1"/>
</calcChain>
</file>

<file path=xl/sharedStrings.xml><?xml version="1.0" encoding="utf-8"?>
<sst xmlns="http://schemas.openxmlformats.org/spreadsheetml/2006/main" count="363" uniqueCount="186">
  <si>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</si>
  <si>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</si>
  <si>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</si>
  <si>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</si>
  <si>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</si>
  <si>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</si>
  <si>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</si>
  <si>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</si>
  <si>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</si>
  <si>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</si>
  <si>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</si>
  <si>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</si>
  <si>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</si>
  <si>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</si>
  <si>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</si>
  <si>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</si>
  <si>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</si>
  <si>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</si>
  <si>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</si>
  <si>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</si>
  <si>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</si>
  <si>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</si>
  <si>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</si>
  <si>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</si>
  <si>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</si>
  <si>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</si>
  <si>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</si>
  <si>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</si>
  <si>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</si>
  <si>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</si>
  <si>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</si>
  <si>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</si>
  <si>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</si>
  <si>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</si>
  <si>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</si>
  <si>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</si>
  <si>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</si>
  <si>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</si>
  <si>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</si>
  <si>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</si>
  <si>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</si>
  <si>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</si>
  <si>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</si>
  <si>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</si>
  <si>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</si>
  <si>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</si>
  <si>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</si>
  <si>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</si>
  <si>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</si>
  <si>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</si>
  <si>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</si>
  <si>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</si>
  <si>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</si>
  <si>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</si>
  <si>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</si>
  <si>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</si>
  <si>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</si>
  <si>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</si>
  <si>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</si>
  <si>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</si>
  <si>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</si>
  <si>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</si>
  <si>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</si>
  <si>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</si>
  <si>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</si>
  <si>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</si>
  <si>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</si>
  <si>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</si>
  <si>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</si>
  <si>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 xml:space="preserve">Начальник ОКС </t>
  </si>
  <si>
    <t>Е.Г. Пирковская</t>
  </si>
  <si>
    <t>Инженер</t>
  </si>
  <si>
    <t>филиала ПАО "МРСК Северо-Запада" "Комиэнерго"</t>
  </si>
  <si>
    <t>Изыскательские работы</t>
  </si>
  <si>
    <t>Проектные работы</t>
  </si>
  <si>
    <t>ВЛЗ - 10 кВ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</si>
  <si>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</si>
  <si>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</si>
  <si>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</si>
  <si>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</si>
  <si>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</si>
  <si>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</si>
  <si>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</si>
  <si>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БЛОК 1
Утвержденная сметная стоимость  строительства объекта  (в ценах 3 квартала 2016)</t>
  </si>
  <si>
    <t>Снегоборьба (0,3%)</t>
  </si>
  <si>
    <t>______________________________ /Е.Н.Сесюк/</t>
  </si>
  <si>
    <t>/Е.Н.Сесюк/</t>
  </si>
  <si>
    <t xml:space="preserve">БЛОК 3                                                                                                   Плановая стоимость объекта в прогнозных ценах 2017 года  с учетом применения методики снижения инвестиционных затрат на 30% относительно уровня 2012года </t>
  </si>
  <si>
    <t>Заместитель директора
по инвестиционной деятельности
филиала ПАО "МРСК Северо-Запада" "Комиэнерго"</t>
  </si>
  <si>
    <t>Вынос в натуру ВЛ 10 кВ</t>
  </si>
  <si>
    <t>тыс. руб.</t>
  </si>
  <si>
    <t>(ссылка на документ об утверждении)</t>
  </si>
  <si>
    <t>СВОДНЫЙ СМЕТНЫЙ РАСЧЕТ СТОИМОСТИ СТРОИТЕЛЬСТВА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</si>
  <si>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</si>
  <si>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</si>
  <si>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/А.С. Сажин/</t>
  </si>
  <si>
    <t>М.А.Тарабукин</t>
  </si>
  <si>
    <t>А.С.Сажин</t>
  </si>
  <si>
    <t xml:space="preserve">Утвердил: </t>
  </si>
  <si>
    <t>&lt;  *_*  &gt;</t>
  </si>
  <si>
    <t>ПК РИК (вер.1.3.150609) тел./факс (495) 347-33-01</t>
  </si>
  <si>
    <t>Сводн.см.расч.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</si>
  <si>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</si>
  <si>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</si>
  <si>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</si>
  <si>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</si>
  <si>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</si>
  <si>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В том числе возвратных сумм</t>
  </si>
  <si>
    <t>Составлен в базовых ценах на 2000 год</t>
  </si>
  <si>
    <t>Номер по порядку</t>
  </si>
  <si>
    <t>Номера сметных расчетов и смет, Обоснование</t>
  </si>
  <si>
    <t>Сметная стоимость, тыс.руб.</t>
  </si>
  <si>
    <t>Общая сметная стоимость, тыс.руб.</t>
  </si>
  <si>
    <t>оборудования, мебели, инвентаря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</si>
  <si>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</si>
  <si>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</si>
  <si>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</si>
  <si>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</si>
  <si>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</si>
  <si>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</si>
  <si>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</si>
  <si>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</si>
  <si>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</si>
  <si>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ИТОГО ПО ГЛАВЕ 4:</t>
  </si>
  <si>
    <t>ИТОГО ПО ГЛАВАМ 1 - 7:</t>
  </si>
  <si>
    <t>Глава 8.</t>
  </si>
  <si>
    <t>ВРЕМЕННЫЕ ЗДАНИЯ И СООРУЖЕНИЯ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</si>
  <si>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</si>
  <si>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</si>
  <si>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</si>
  <si>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</si>
  <si>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</si>
  <si>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</si>
  <si>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</si>
  <si>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</si>
  <si>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СМЕТА,П. ГС.РФ от27.10.03 № НК-6848/10</t>
  </si>
  <si>
    <t>ЗАТРАТЫ НА ПРОВЕДЕНИЕ ПУСКОНАЛАДОЧНЫХ РАБОТ</t>
  </si>
  <si>
    <t>ПНР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</si>
  <si>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</si>
  <si>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</si>
  <si>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</si>
  <si>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</si>
  <si>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Приказ "Комиэнерго"№265 от 05.05.2017</t>
  </si>
  <si>
    <t>СТРОИТЕЛЬНЫЙ КОНТРОЛЬ (%=2.14)</t>
  </si>
  <si>
    <t>CОДЕРЖАНИЕ СЛУЖБЫ ЗАКАЗЧИКА-ЗАСТРОЙЩИКА, ЗА ИСКЛЮЧЕНИЕМ СТРОИТЕЛЬНОГО КОНТРОЛЯ  (%=2.16)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</si>
  <si>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</si>
  <si>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</si>
  <si>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</si>
  <si>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</si>
  <si>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</si>
  <si>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</si>
  <si>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</si>
  <si>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</si>
  <si>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</si>
  <si>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</si>
  <si>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</si>
  <si>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</si>
  <si>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</si>
  <si>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</si>
  <si>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</si>
  <si>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</si>
  <si>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</si>
  <si>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</si>
  <si>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</si>
  <si>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 xml:space="preserve">Скрипов Д.М. </t>
  </si>
  <si>
    <t>(должность, подпись, Ф.И.О.)</t>
  </si>
  <si>
    <t xml:space="preserve">&lt;  *_*  &gt; </t>
  </si>
  <si>
    <t>Составлена в текущих ценах  первого квартала 2017 г.</t>
  </si>
  <si>
    <t xml:space="preserve"> ¯\_(ツ)_/¯</t>
  </si>
  <si>
    <t>Затраты на временные здания и сооружения 2%</t>
  </si>
  <si>
    <t>'С учетом индексов-дефляторов 2018</t>
  </si>
  <si>
    <t>Индексы - дефляторы МЭР по строке "Капвложения" на 2018 год (указать период выпуска)</t>
  </si>
  <si>
    <t>Стоимость строительства в ценах на период строительства в 2018 году</t>
  </si>
  <si>
    <t>Коэффициент директивного снижения инвестиционных затрат в 2018году (в соответствии с действующей методикой)</t>
  </si>
  <si>
    <t>Стоимость строительства в текущих ценах с учетом снижения в 2018 году</t>
  </si>
  <si>
    <t xml:space="preserve">Средства на возведение, разборку временных зданий и сооружений, %=2% </t>
  </si>
  <si>
    <t>Утвержденная сметная стоимость  строительства объекта  (в ценах 1 квартала 2017)</t>
  </si>
  <si>
    <t xml:space="preserve">Плановая стоимость объекта в прогнозных ценах 2018 года  относительно уровня 2012года </t>
  </si>
  <si>
    <t xml:space="preserve">Плановая стоимость объекта впрогнозных ценах 2018 года  с учетом применения методики снижения инвестиционных затрат на 30% относительно уровня 2012года       </t>
  </si>
  <si>
    <t>Составлен в базисных ценах 2001 года с пересчетом в текущие цены на 2018 год</t>
  </si>
  <si>
    <t xml:space="preserve">Дата составления </t>
  </si>
  <si>
    <t>Сметный расчет по ИП №G_000-55-1-03.13-1627 Техническое перевооружение ПС 110/10 кВ «Визинга»: замена МВ 110 кВ ВЛ №196 на элегазовый выключатель 110 кВ в с. Визинга Сысольского района Республики Коми (ЮЭС)</t>
  </si>
  <si>
    <t>000-55-1-03.13-1627 "Техническое перевооружение ПС 110/10 кВ &lt;Визинга&gt;: замена МВ 110 кВ ВЛ №196 на элегазовый выключатель 110 кВ в с. Визинга Сысольского района Республики Коми"</t>
  </si>
  <si>
    <t>Монтаж элегазового выключателя ТП (времен. 2%, зимн. 3,52%)</t>
  </si>
  <si>
    <t>Телемеханизация ТП (времен. 2%, зимн. 3,52%)</t>
  </si>
  <si>
    <t>ЗАТРАТЫ,СВЯЗАННЫЕ С ПРЕМИРОВАНИЕМ ЗА ВВОД ПОСТРОЕННЫХ ОБЪЕКТОВ   (%= 3.08)</t>
  </si>
</sst>
</file>

<file path=xl/styles.xml><?xml version="1.0" encoding="utf-8"?>
<styleSheet xmlns="http://schemas.openxmlformats.org/spreadsheetml/2006/main">
  <numFmts count="13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  <numFmt numFmtId="172" formatCode="0.00000"/>
    <numFmt numFmtId="173" formatCode="General;\-General;"/>
    <numFmt numFmtId="174" formatCode="#,##0.###;\-#,##0.###;#\ ##"/>
    <numFmt numFmtId="175" formatCode="##0"/>
    <numFmt numFmtId="176" formatCode="#,##0.###;\-#,##0.###;#.0\ ##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sz val="8"/>
      <name val="Verdana"/>
      <family val="2"/>
      <charset val="204"/>
    </font>
    <font>
      <b/>
      <sz val="16"/>
      <color rgb="FFFF000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1" fillId="0" borderId="0">
      <alignment vertical="top"/>
      <protection locked="0"/>
    </xf>
  </cellStyleXfs>
  <cellXfs count="439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168" fontId="26" fillId="0" borderId="3" xfId="23" applyNumberFormat="1" applyFont="1" applyFill="1" applyBorder="1" applyAlignment="1">
      <alignment horizontal="center" vertical="center" wrapText="1"/>
    </xf>
    <xf numFmtId="168" fontId="26" fillId="0" borderId="3" xfId="24" applyNumberFormat="1" applyFont="1" applyFill="1" applyBorder="1" applyAlignment="1">
      <alignment horizontal="center" vertical="center" wrapText="1"/>
    </xf>
    <xf numFmtId="168" fontId="25" fillId="0" borderId="3" xfId="3" applyNumberFormat="1" applyFont="1" applyFill="1" applyBorder="1" applyAlignment="1">
      <alignment horizontal="center" vertical="center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168" fontId="26" fillId="0" borderId="9" xfId="23" applyNumberFormat="1" applyFont="1" applyFill="1" applyBorder="1" applyAlignment="1">
      <alignment horizontal="center" vertical="center" wrapText="1"/>
    </xf>
    <xf numFmtId="168" fontId="26" fillId="0" borderId="10" xfId="24" applyNumberFormat="1" applyFont="1" applyFill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168" fontId="26" fillId="0" borderId="14" xfId="23" applyNumberFormat="1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8" fontId="26" fillId="0" borderId="14" xfId="24" applyNumberFormat="1" applyFont="1" applyFill="1" applyBorder="1" applyAlignment="1">
      <alignment horizontal="center" vertical="center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14" xfId="29" applyNumberFormat="1" applyFont="1" applyFill="1" applyBorder="1" applyAlignment="1">
      <alignment vertical="top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26" fillId="0" borderId="10" xfId="28" applyFont="1" applyFill="1" applyBorder="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31" fillId="0" borderId="2" xfId="31" applyNumberFormat="1" applyFont="1" applyBorder="1" applyAlignment="1">
      <alignment horizontal="center" vertical="top" wrapText="1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0" fillId="0" borderId="0" xfId="0" applyNumberFormat="1"/>
    <xf numFmtId="4" fontId="11" fillId="0" borderId="10" xfId="30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8" fillId="6" borderId="3" xfId="3" applyFont="1" applyFill="1" applyBorder="1" applyAlignment="1">
      <alignment horizontal="center" vertical="center" wrapText="1"/>
    </xf>
    <xf numFmtId="169" fontId="11" fillId="0" borderId="14" xfId="29" applyNumberFormat="1" applyFont="1" applyFill="1" applyBorder="1" applyAlignment="1">
      <alignment horizontal="right" vertical="top" wrapText="1"/>
    </xf>
    <xf numFmtId="0" fontId="19" fillId="0" borderId="3" xfId="0" applyNumberFormat="1" applyFont="1" applyBorder="1" applyAlignment="1" applyProtection="1">
      <alignment horizontal="center" vertical="center" wrapText="1"/>
      <protection locked="0"/>
    </xf>
    <xf numFmtId="169" fontId="11" fillId="0" borderId="3" xfId="29" applyNumberFormat="1" applyFont="1" applyFill="1" applyBorder="1" applyAlignment="1">
      <alignment horizontal="right" vertical="top" wrapText="1"/>
    </xf>
    <xf numFmtId="172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25" fillId="0" borderId="10" xfId="3" applyNumberFormat="1" applyFont="1" applyFill="1" applyBorder="1" applyAlignment="1">
      <alignment horizontal="center" vertical="center" wrapText="1"/>
    </xf>
    <xf numFmtId="164" fontId="26" fillId="0" borderId="10" xfId="24" applyNumberFormat="1" applyFont="1" applyFill="1" applyBorder="1" applyAlignment="1">
      <alignment horizontal="center" vertical="center"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0" borderId="10" xfId="23" applyNumberFormat="1" applyFont="1" applyFill="1" applyBorder="1" applyAlignment="1">
      <alignment vertical="center" wrapText="1"/>
    </xf>
    <xf numFmtId="164" fontId="11" fillId="0" borderId="10" xfId="30" applyNumberFormat="1" applyFont="1" applyFill="1" applyBorder="1" applyAlignment="1">
      <alignment vertical="top" wrapText="1"/>
    </xf>
    <xf numFmtId="164" fontId="11" fillId="0" borderId="10" xfId="25" quotePrefix="1" applyNumberFormat="1" applyFont="1" applyFill="1" applyBorder="1" applyAlignment="1">
      <alignment vertical="top" wrapText="1"/>
    </xf>
    <xf numFmtId="164" fontId="26" fillId="0" borderId="10" xfId="30" applyNumberFormat="1" applyFont="1" applyFill="1" applyBorder="1" applyAlignment="1">
      <alignment vertical="top" wrapText="1"/>
    </xf>
    <xf numFmtId="164" fontId="26" fillId="0" borderId="10" xfId="29" applyNumberFormat="1" applyFont="1" applyFill="1" applyBorder="1" applyAlignment="1">
      <alignment vertical="top" wrapText="1"/>
    </xf>
    <xf numFmtId="164" fontId="26" fillId="0" borderId="4" xfId="29" applyNumberFormat="1" applyFont="1" applyFill="1" applyBorder="1" applyAlignment="1">
      <alignment vertical="top" wrapText="1"/>
    </xf>
    <xf numFmtId="164" fontId="26" fillId="0" borderId="3" xfId="29" applyNumberFormat="1" applyFont="1" applyFill="1" applyBorder="1" applyAlignment="1">
      <alignment horizontal="right" vertical="top" wrapText="1"/>
    </xf>
    <xf numFmtId="164" fontId="11" fillId="0" borderId="10" xfId="30" applyNumberFormat="1" applyFont="1" applyFill="1" applyBorder="1" applyAlignment="1">
      <alignment horizontal="right" vertical="top" wrapText="1"/>
    </xf>
    <xf numFmtId="164" fontId="26" fillId="0" borderId="10" xfId="29" applyNumberFormat="1" applyFont="1" applyFill="1" applyBorder="1" applyAlignment="1">
      <alignment horizontal="right" vertical="top" wrapText="1"/>
    </xf>
    <xf numFmtId="164" fontId="11" fillId="0" borderId="10" xfId="29" applyNumberFormat="1" applyFont="1" applyFill="1" applyBorder="1" applyAlignment="1">
      <alignment horizontal="right" vertical="top" wrapText="1"/>
    </xf>
    <xf numFmtId="164" fontId="26" fillId="2" borderId="34" xfId="29" applyNumberFormat="1" applyFont="1" applyFill="1" applyBorder="1" applyAlignment="1">
      <alignment horizontal="right" vertical="top" wrapText="1"/>
    </xf>
    <xf numFmtId="164" fontId="26" fillId="2" borderId="10" xfId="29" applyNumberFormat="1" applyFont="1" applyFill="1" applyBorder="1" applyAlignment="1">
      <alignment horizontal="right" vertical="top" wrapText="1"/>
    </xf>
    <xf numFmtId="164" fontId="26" fillId="0" borderId="13" xfId="29" applyNumberFormat="1" applyFont="1" applyFill="1" applyBorder="1" applyAlignment="1">
      <alignment horizontal="right" vertical="top" wrapText="1"/>
    </xf>
    <xf numFmtId="164" fontId="11" fillId="0" borderId="9" xfId="29" applyNumberFormat="1" applyFont="1" applyFill="1" applyBorder="1" applyAlignment="1">
      <alignment horizontal="right" vertical="top" wrapText="1"/>
    </xf>
    <xf numFmtId="164" fontId="11" fillId="0" borderId="3" xfId="29" applyNumberFormat="1" applyFont="1" applyFill="1" applyBorder="1" applyAlignment="1">
      <alignment horizontal="right" vertical="top" wrapText="1"/>
    </xf>
    <xf numFmtId="164" fontId="26" fillId="0" borderId="9" xfId="29" applyNumberFormat="1" applyFont="1" applyFill="1" applyBorder="1" applyAlignment="1">
      <alignment horizontal="right" vertical="top" wrapText="1"/>
    </xf>
    <xf numFmtId="164" fontId="26" fillId="0" borderId="11" xfId="29" applyNumberFormat="1" applyFont="1" applyFill="1" applyBorder="1" applyAlignment="1">
      <alignment horizontal="right" vertical="top" wrapText="1"/>
    </xf>
    <xf numFmtId="164" fontId="26" fillId="0" borderId="12" xfId="29" applyNumberFormat="1" applyFont="1" applyFill="1" applyBorder="1" applyAlignment="1">
      <alignment horizontal="right" vertical="top" wrapText="1"/>
    </xf>
    <xf numFmtId="164" fontId="15" fillId="0" borderId="31" xfId="25" quotePrefix="1" applyNumberFormat="1" applyBorder="1" applyAlignment="1">
      <alignment horizontal="left" vertical="top" wrapText="1"/>
    </xf>
    <xf numFmtId="164" fontId="15" fillId="0" borderId="16" xfId="25" quotePrefix="1" applyNumberFormat="1" applyBorder="1" applyAlignment="1">
      <alignment horizontal="left" vertical="top" wrapText="1"/>
    </xf>
    <xf numFmtId="164" fontId="15" fillId="0" borderId="32" xfId="25" quotePrefix="1" applyNumberFormat="1" applyBorder="1" applyAlignment="1">
      <alignment horizontal="left" vertical="top" wrapText="1"/>
    </xf>
    <xf numFmtId="164" fontId="25" fillId="0" borderId="9" xfId="30" applyNumberFormat="1" applyFont="1" applyFill="1" applyBorder="1" applyAlignment="1">
      <alignment horizontal="right" vertical="top" wrapText="1"/>
    </xf>
    <xf numFmtId="164" fontId="25" fillId="0" borderId="10" xfId="30" applyNumberFormat="1" applyFont="1" applyBorder="1" applyAlignment="1">
      <alignment horizontal="right" vertical="top" wrapText="1"/>
    </xf>
    <xf numFmtId="164" fontId="11" fillId="0" borderId="14" xfId="25" quotePrefix="1" applyNumberFormat="1" applyFont="1" applyBorder="1" applyAlignment="1">
      <alignment horizontal="left" vertical="top" wrapText="1"/>
    </xf>
    <xf numFmtId="164" fontId="11" fillId="0" borderId="3" xfId="25" quotePrefix="1" applyNumberFormat="1" applyFont="1" applyBorder="1" applyAlignment="1">
      <alignment horizontal="left" vertical="top" wrapText="1"/>
    </xf>
    <xf numFmtId="164" fontId="11" fillId="0" borderId="10" xfId="25" quotePrefix="1" applyNumberFormat="1" applyFont="1" applyBorder="1" applyAlignment="1">
      <alignment horizontal="left" vertical="top" wrapText="1"/>
    </xf>
    <xf numFmtId="164" fontId="25" fillId="0" borderId="14" xfId="30" applyNumberFormat="1" applyFont="1" applyFill="1" applyBorder="1" applyAlignment="1">
      <alignment horizontal="right" vertical="top" wrapText="1"/>
    </xf>
    <xf numFmtId="164" fontId="25" fillId="0" borderId="14" xfId="29" applyNumberFormat="1" applyFont="1" applyBorder="1" applyAlignment="1">
      <alignment horizontal="right" vertical="top" wrapText="1"/>
    </xf>
    <xf numFmtId="164" fontId="25" fillId="0" borderId="3" xfId="29" applyNumberFormat="1" applyFont="1" applyBorder="1" applyAlignment="1">
      <alignment horizontal="right" vertical="top" wrapText="1"/>
    </xf>
    <xf numFmtId="164" fontId="25" fillId="0" borderId="34" xfId="30" applyNumberFormat="1" applyFont="1" applyBorder="1" applyAlignment="1">
      <alignment horizontal="right" vertical="top" wrapText="1"/>
    </xf>
    <xf numFmtId="164" fontId="11" fillId="0" borderId="34" xfId="25" quotePrefix="1" applyNumberFormat="1" applyFont="1" applyBorder="1" applyAlignment="1">
      <alignment horizontal="left" vertical="top" wrapText="1"/>
    </xf>
    <xf numFmtId="164" fontId="12" fillId="0" borderId="14" xfId="29" applyNumberFormat="1" applyFont="1" applyBorder="1" applyAlignment="1">
      <alignment horizontal="right" vertical="top" wrapText="1"/>
    </xf>
    <xf numFmtId="164" fontId="12" fillId="0" borderId="3" xfId="29" applyNumberFormat="1" applyFont="1" applyBorder="1" applyAlignment="1">
      <alignment horizontal="right" vertical="top" wrapText="1"/>
    </xf>
    <xf numFmtId="164" fontId="12" fillId="0" borderId="34" xfId="30" applyNumberFormat="1" applyFont="1" applyBorder="1" applyAlignment="1">
      <alignment horizontal="right" vertical="top" wrapText="1"/>
    </xf>
    <xf numFmtId="164" fontId="11" fillId="0" borderId="14" xfId="29" applyNumberFormat="1" applyFont="1" applyFill="1" applyBorder="1" applyAlignment="1">
      <alignment horizontal="right" vertical="top" wrapText="1"/>
    </xf>
    <xf numFmtId="164" fontId="26" fillId="0" borderId="14" xfId="29" applyNumberFormat="1" applyFont="1" applyFill="1" applyBorder="1" applyAlignment="1">
      <alignment horizontal="right" vertical="top" wrapText="1"/>
    </xf>
    <xf numFmtId="164" fontId="4" fillId="0" borderId="14" xfId="3" applyNumberFormat="1" applyBorder="1" applyAlignment="1">
      <alignment wrapText="1"/>
    </xf>
    <xf numFmtId="164" fontId="4" fillId="0" borderId="3" xfId="3" applyNumberFormat="1" applyBorder="1" applyAlignment="1">
      <alignment wrapText="1"/>
    </xf>
    <xf numFmtId="164" fontId="12" fillId="0" borderId="10" xfId="30" applyNumberFormat="1" applyFont="1" applyBorder="1" applyAlignment="1">
      <alignment horizontal="right" vertical="top" wrapText="1"/>
    </xf>
    <xf numFmtId="164" fontId="8" fillId="0" borderId="14" xfId="0" applyNumberFormat="1" applyFont="1" applyBorder="1"/>
    <xf numFmtId="164" fontId="8" fillId="0" borderId="3" xfId="0" applyNumberFormat="1" applyFont="1" applyBorder="1"/>
    <xf numFmtId="164" fontId="25" fillId="0" borderId="14" xfId="29" applyNumberFormat="1" applyFont="1" applyBorder="1" applyAlignment="1">
      <alignment horizontal="right" vertical="center" wrapText="1"/>
    </xf>
    <xf numFmtId="164" fontId="25" fillId="0" borderId="3" xfId="29" applyNumberFormat="1" applyFont="1" applyBorder="1" applyAlignment="1">
      <alignment horizontal="right" vertical="center" wrapText="1"/>
    </xf>
    <xf numFmtId="164" fontId="25" fillId="0" borderId="9" xfId="29" applyNumberFormat="1" applyFont="1" applyBorder="1" applyAlignment="1">
      <alignment horizontal="right" vertical="top" wrapText="1"/>
    </xf>
    <xf numFmtId="164" fontId="12" fillId="0" borderId="11" xfId="29" applyNumberFormat="1" applyFont="1" applyBorder="1" applyAlignment="1">
      <alignment horizontal="right" vertical="top" wrapText="1"/>
    </xf>
    <xf numFmtId="164" fontId="12" fillId="0" borderId="12" xfId="29" applyNumberFormat="1" applyFont="1" applyBorder="1" applyAlignment="1">
      <alignment horizontal="right" vertical="top" wrapText="1"/>
    </xf>
    <xf numFmtId="49" fontId="39" fillId="0" borderId="0" xfId="44" applyNumberFormat="1" applyFont="1" applyAlignment="1">
      <alignment horizontal="left" vertical="top"/>
      <protection locked="0"/>
    </xf>
    <xf numFmtId="49" fontId="39" fillId="0" borderId="0" xfId="44" applyNumberFormat="1" applyFont="1" applyAlignment="1">
      <alignment horizontal="right" vertical="top"/>
      <protection locked="0"/>
    </xf>
    <xf numFmtId="0" fontId="41" fillId="0" borderId="0" xfId="44">
      <alignment vertical="top"/>
      <protection locked="0"/>
    </xf>
    <xf numFmtId="49" fontId="41" fillId="0" borderId="1" xfId="44" applyNumberFormat="1" applyFont="1" applyBorder="1" applyAlignment="1">
      <alignment vertical="top"/>
      <protection locked="0"/>
    </xf>
    <xf numFmtId="173" fontId="41" fillId="0" borderId="35" xfId="44" applyNumberFormat="1" applyFont="1" applyBorder="1" applyAlignment="1">
      <alignment horizontal="right" vertical="top" wrapText="1"/>
      <protection locked="0"/>
    </xf>
    <xf numFmtId="49" fontId="41" fillId="0" borderId="0" xfId="44" applyNumberFormat="1" applyFont="1" applyAlignment="1">
      <alignment vertical="top"/>
      <protection locked="0"/>
    </xf>
    <xf numFmtId="173" fontId="41" fillId="0" borderId="0" xfId="44" applyNumberFormat="1" applyFont="1" applyBorder="1" applyAlignment="1">
      <alignment horizontal="right" vertical="top"/>
      <protection locked="0"/>
    </xf>
    <xf numFmtId="173" fontId="40" fillId="0" borderId="1" xfId="44" applyNumberFormat="1" applyFont="1" applyBorder="1" applyAlignment="1">
      <alignment horizontal="right" vertical="top"/>
      <protection locked="0"/>
    </xf>
    <xf numFmtId="165" fontId="40" fillId="0" borderId="1" xfId="44" applyNumberFormat="1" applyFont="1" applyBorder="1" applyAlignment="1">
      <alignment horizontal="right" vertical="top"/>
      <protection locked="0"/>
    </xf>
    <xf numFmtId="49" fontId="40" fillId="0" borderId="0" xfId="44" applyNumberFormat="1" applyFont="1" applyAlignment="1">
      <alignment horizontal="left" vertical="top"/>
      <protection locked="0"/>
    </xf>
    <xf numFmtId="174" fontId="40" fillId="0" borderId="1" xfId="44" applyNumberFormat="1" applyFont="1" applyBorder="1" applyAlignment="1">
      <alignment vertical="top"/>
      <protection locked="0"/>
    </xf>
    <xf numFmtId="49" fontId="41" fillId="0" borderId="3" xfId="44" applyNumberFormat="1" applyFont="1" applyBorder="1" applyAlignment="1">
      <alignment horizontal="center" vertical="center" wrapText="1"/>
      <protection locked="0"/>
    </xf>
    <xf numFmtId="175" fontId="41" fillId="0" borderId="36" xfId="44" applyNumberFormat="1" applyFont="1" applyBorder="1" applyAlignment="1">
      <alignment horizontal="center" vertical="top" wrapText="1"/>
      <protection locked="0"/>
    </xf>
    <xf numFmtId="175" fontId="41" fillId="0" borderId="0" xfId="44" applyNumberFormat="1" applyFont="1" applyBorder="1" applyAlignment="1">
      <alignment horizontal="center" vertical="top" wrapText="1"/>
      <protection locked="0"/>
    </xf>
    <xf numFmtId="0" fontId="40" fillId="0" borderId="0" xfId="44" applyFont="1" applyAlignment="1" applyProtection="1">
      <alignment vertical="center" wrapText="1"/>
    </xf>
    <xf numFmtId="164" fontId="40" fillId="0" borderId="0" xfId="44" applyNumberFormat="1" applyFont="1" applyAlignment="1" applyProtection="1">
      <alignment horizontal="right" vertical="center" wrapText="1"/>
    </xf>
    <xf numFmtId="164" fontId="40" fillId="0" borderId="0" xfId="44" applyNumberFormat="1" applyFont="1" applyAlignment="1">
      <alignment horizontal="right" vertical="top"/>
      <protection locked="0"/>
    </xf>
    <xf numFmtId="164" fontId="41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left" vertical="top" wrapText="1"/>
      <protection locked="0"/>
    </xf>
    <xf numFmtId="0" fontId="41" fillId="0" borderId="0" xfId="44" applyFont="1" applyAlignment="1" applyProtection="1">
      <alignment horizontal="right" vertical="center" wrapText="1"/>
    </xf>
    <xf numFmtId="0" fontId="41" fillId="0" borderId="0" xfId="44" applyFont="1" applyAlignment="1" applyProtection="1">
      <alignment vertical="center" wrapText="1"/>
    </xf>
    <xf numFmtId="164" fontId="41" fillId="0" borderId="0" xfId="44" applyNumberFormat="1" applyFont="1" applyAlignment="1">
      <alignment horizontal="right" vertical="top" wrapText="1"/>
      <protection locked="0"/>
    </xf>
    <xf numFmtId="164" fontId="41" fillId="0" borderId="0" xfId="44" applyNumberFormat="1" applyFont="1" applyAlignment="1" applyProtection="1">
      <alignment horizontal="right" vertical="center" wrapText="1"/>
    </xf>
    <xf numFmtId="0" fontId="40" fillId="0" borderId="0" xfId="44" applyNumberFormat="1" applyFont="1" applyAlignment="1">
      <alignment horizontal="left" vertical="top" wrapText="1"/>
      <protection locked="0"/>
    </xf>
    <xf numFmtId="164" fontId="40" fillId="0" borderId="0" xfId="44" applyNumberFormat="1" applyFont="1" applyAlignment="1" applyProtection="1">
      <alignment vertical="top"/>
    </xf>
    <xf numFmtId="164" fontId="40" fillId="3" borderId="0" xfId="44" applyNumberFormat="1" applyFont="1" applyFill="1" applyAlignment="1">
      <alignment horizontal="right" vertical="top"/>
      <protection locked="0"/>
    </xf>
    <xf numFmtId="173" fontId="41" fillId="0" borderId="37" xfId="44" applyNumberFormat="1" applyFont="1" applyBorder="1" applyAlignment="1">
      <alignment horizontal="right" vertical="top" wrapText="1"/>
      <protection locked="0"/>
    </xf>
    <xf numFmtId="49" fontId="43" fillId="0" borderId="35" xfId="44" applyNumberFormat="1" applyFont="1" applyBorder="1" applyAlignment="1">
      <alignment horizontal="center" vertical="top" wrapText="1"/>
      <protection locked="0"/>
    </xf>
    <xf numFmtId="173" fontId="44" fillId="0" borderId="0" xfId="44" applyNumberFormat="1" applyFont="1" applyAlignment="1">
      <alignment horizontal="right" vertical="top" wrapText="1"/>
      <protection locked="0"/>
    </xf>
    <xf numFmtId="173" fontId="42" fillId="0" borderId="0" xfId="44" applyNumberFormat="1" applyFont="1" applyAlignment="1">
      <alignment vertical="top" wrapText="1"/>
      <protection locked="0"/>
    </xf>
    <xf numFmtId="0" fontId="41" fillId="0" borderId="0" xfId="44" applyFont="1" applyAlignment="1" applyProtection="1">
      <alignment horizontal="left" vertical="center" wrapText="1"/>
    </xf>
    <xf numFmtId="176" fontId="40" fillId="0" borderId="0" xfId="44" applyNumberFormat="1" applyFont="1" applyAlignment="1">
      <alignment horizontal="right" vertical="top"/>
      <protection locked="0"/>
    </xf>
    <xf numFmtId="174" fontId="40" fillId="0" borderId="0" xfId="44" applyNumberFormat="1" applyFont="1" applyAlignment="1">
      <alignment horizontal="right" vertical="top"/>
      <protection locked="0"/>
    </xf>
    <xf numFmtId="0" fontId="41" fillId="0" borderId="0" xfId="44" applyFill="1" applyBorder="1" applyAlignment="1" applyProtection="1"/>
    <xf numFmtId="0" fontId="40" fillId="0" borderId="0" xfId="44" applyFont="1" applyAlignment="1" applyProtection="1">
      <alignment horizontal="right" vertical="center" wrapText="1"/>
    </xf>
    <xf numFmtId="164" fontId="40" fillId="0" borderId="0" xfId="44" applyNumberFormat="1" applyFont="1" applyAlignment="1" applyProtection="1">
      <alignment horizontal="right" vertical="top" wrapText="1"/>
    </xf>
    <xf numFmtId="173" fontId="41" fillId="0" borderId="0" xfId="44" applyNumberFormat="1" applyFont="1" applyAlignment="1">
      <alignment horizontal="right" wrapText="1"/>
      <protection locked="0"/>
    </xf>
    <xf numFmtId="49" fontId="26" fillId="0" borderId="3" xfId="32" applyNumberFormat="1" applyFont="1" applyFill="1" applyBorder="1" applyAlignment="1">
      <alignment horizontal="left" vertical="top" wrapText="1"/>
    </xf>
    <xf numFmtId="49" fontId="26" fillId="0" borderId="4" xfId="28" applyNumberFormat="1" applyFont="1" applyFill="1" applyBorder="1" applyAlignment="1">
      <alignment horizontal="left" vertical="top" wrapText="1"/>
    </xf>
    <xf numFmtId="14" fontId="25" fillId="0" borderId="0" xfId="3" applyNumberFormat="1" applyFont="1" applyAlignment="1">
      <alignment horizontal="left" wrapText="1"/>
    </xf>
    <xf numFmtId="173" fontId="41" fillId="0" borderId="0" xfId="44" applyNumberFormat="1" applyFont="1" applyAlignment="1">
      <alignment horizontal="right" vertical="top" wrapText="1"/>
      <protection locked="0"/>
    </xf>
    <xf numFmtId="49" fontId="41" fillId="0" borderId="0" xfId="44" applyNumberFormat="1" applyFont="1" applyAlignment="1">
      <alignment horizontal="left" vertical="top"/>
      <protection locked="0"/>
    </xf>
    <xf numFmtId="49" fontId="41" fillId="0" borderId="0" xfId="44" applyNumberFormat="1" applyFont="1" applyAlignment="1">
      <alignment horizontal="right" vertical="top"/>
      <protection locked="0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41" fillId="0" borderId="0" xfId="44" applyFont="1" applyAlignment="1" applyProtection="1">
      <alignment horizontal="center" vertical="center" wrapText="1"/>
    </xf>
    <xf numFmtId="169" fontId="28" fillId="0" borderId="3" xfId="8" applyNumberFormat="1" applyFont="1" applyBorder="1" applyAlignment="1">
      <alignment horizontal="center" vertical="center" wrapText="1"/>
    </xf>
    <xf numFmtId="169" fontId="16" fillId="0" borderId="3" xfId="8" applyNumberFormat="1" applyFont="1" applyBorder="1" applyAlignment="1">
      <alignment horizontal="center" vertical="center" wrapText="1"/>
    </xf>
    <xf numFmtId="169" fontId="1" fillId="0" borderId="3" xfId="8" applyNumberFormat="1" applyFont="1" applyBorder="1" applyAlignment="1">
      <alignment horizontal="center"/>
    </xf>
    <xf numFmtId="169" fontId="1" fillId="0" borderId="0" xfId="8" applyNumberFormat="1" applyFont="1"/>
    <xf numFmtId="49" fontId="41" fillId="0" borderId="0" xfId="44" applyNumberFormat="1" applyFont="1" applyAlignment="1">
      <alignment horizontal="right" vertical="top"/>
      <protection locked="0"/>
    </xf>
    <xf numFmtId="49" fontId="41" fillId="0" borderId="0" xfId="44" applyNumberFormat="1" applyFont="1" applyAlignment="1">
      <alignment horizontal="left" vertical="top"/>
      <protection locked="0"/>
    </xf>
    <xf numFmtId="49" fontId="43" fillId="0" borderId="35" xfId="44" applyNumberFormat="1" applyFont="1" applyBorder="1" applyAlignment="1">
      <alignment horizontal="center" vertical="top"/>
      <protection locked="0"/>
    </xf>
    <xf numFmtId="49" fontId="41" fillId="0" borderId="0" xfId="44" applyNumberFormat="1" applyFont="1" applyAlignment="1">
      <alignment horizontal="right" vertical="top" wrapText="1"/>
      <protection locked="0"/>
    </xf>
    <xf numFmtId="49" fontId="41" fillId="0" borderId="15" xfId="44" applyNumberFormat="1" applyFont="1" applyBorder="1" applyAlignment="1">
      <alignment horizontal="center" vertical="center" wrapText="1"/>
      <protection locked="0"/>
    </xf>
    <xf numFmtId="49" fontId="41" fillId="0" borderId="16" xfId="44" applyNumberFormat="1" applyFont="1" applyBorder="1" applyAlignment="1">
      <alignment horizontal="center" vertical="center" wrapText="1"/>
      <protection locked="0"/>
    </xf>
    <xf numFmtId="49" fontId="41" fillId="0" borderId="4" xfId="44" applyNumberFormat="1" applyFont="1" applyBorder="1" applyAlignment="1">
      <alignment horizontal="center" vertical="center" wrapText="1"/>
      <protection locked="0"/>
    </xf>
    <xf numFmtId="49" fontId="41" fillId="0" borderId="5" xfId="44" applyNumberFormat="1" applyFont="1" applyBorder="1" applyAlignment="1">
      <alignment horizontal="center" vertical="center" wrapText="1"/>
      <protection locked="0"/>
    </xf>
    <xf numFmtId="49" fontId="41" fillId="0" borderId="2" xfId="44" applyNumberFormat="1" applyFont="1" applyBorder="1" applyAlignment="1">
      <alignment horizontal="center" vertical="center" wrapText="1"/>
      <protection locked="0"/>
    </xf>
    <xf numFmtId="49" fontId="41" fillId="0" borderId="1" xfId="44" applyNumberFormat="1" applyFont="1" applyBorder="1" applyAlignment="1">
      <alignment horizontal="left" vertical="top" wrapText="1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173" fontId="41" fillId="0" borderId="0" xfId="44" applyNumberFormat="1" applyFont="1" applyAlignment="1">
      <alignment horizontal="right" vertical="top" wrapText="1"/>
      <protection locked="0"/>
    </xf>
    <xf numFmtId="173" fontId="41" fillId="0" borderId="35" xfId="44" applyNumberFormat="1" applyFont="1" applyBorder="1" applyAlignment="1">
      <alignment horizontal="center" vertical="top" wrapText="1"/>
      <protection locked="0"/>
    </xf>
    <xf numFmtId="173" fontId="41" fillId="0" borderId="0" xfId="44" applyNumberFormat="1" applyFont="1" applyAlignment="1">
      <alignment horizontal="left" vertical="top" wrapText="1"/>
      <protection locked="0"/>
    </xf>
    <xf numFmtId="49" fontId="40" fillId="0" borderId="0" xfId="44" applyNumberFormat="1" applyFont="1" applyAlignment="1">
      <alignment horizontal="center" vertical="top"/>
      <protection locked="0"/>
    </xf>
    <xf numFmtId="0" fontId="41" fillId="0" borderId="1" xfId="44" applyNumberFormat="1" applyFont="1" applyBorder="1" applyAlignment="1">
      <alignment horizontal="left" vertical="top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49" fontId="11" fillId="0" borderId="3" xfId="25" applyNumberFormat="1" applyFont="1" applyFill="1" applyBorder="1" applyAlignment="1">
      <alignment horizontal="left" vertical="top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1595438</xdr:colOff>
      <xdr:row>47</xdr:row>
      <xdr:rowOff>107156</xdr:rowOff>
    </xdr:from>
    <xdr:to>
      <xdr:col>2</xdr:col>
      <xdr:colOff>2300288</xdr:colOff>
      <xdr:row>49</xdr:row>
      <xdr:rowOff>4762</xdr:rowOff>
    </xdr:to>
    <xdr:pic>
      <xdr:nvPicPr>
        <xdr:cNvPr id="2" name="Рисунок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93219" y="13120687"/>
          <a:ext cx="7048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3488530</xdr:colOff>
      <xdr:row>49</xdr:row>
      <xdr:rowOff>107156</xdr:rowOff>
    </xdr:from>
    <xdr:to>
      <xdr:col>2</xdr:col>
      <xdr:colOff>4193380</xdr:colOff>
      <xdr:row>51</xdr:row>
      <xdr:rowOff>28575</xdr:rowOff>
    </xdr:to>
    <xdr:pic>
      <xdr:nvPicPr>
        <xdr:cNvPr id="2" name="Рисунок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60218" y="10572750"/>
          <a:ext cx="7048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71"/>
  <sheetViews>
    <sheetView showZeros="0" view="pageBreakPreview" topLeftCell="B51" zoomScale="115" zoomScaleNormal="100" zoomScaleSheetLayoutView="115" workbookViewId="0">
      <selection activeCell="F62" sqref="F62"/>
    </sheetView>
  </sheetViews>
  <sheetFormatPr defaultRowHeight="10.5"/>
  <cols>
    <col min="1" max="1" width="6" style="328" customWidth="1"/>
    <col min="2" max="2" width="22.140625" style="328" customWidth="1"/>
    <col min="3" max="3" width="65.28515625" style="328" customWidth="1"/>
    <col min="4" max="8" width="10.85546875" style="328" customWidth="1"/>
    <col min="9" max="10" width="9.140625" style="328"/>
    <col min="11" max="11" width="17.5703125" style="328" customWidth="1"/>
    <col min="12" max="12" width="11.85546875" style="328" bestFit="1" customWidth="1"/>
    <col min="13" max="13" width="9.5703125" style="328" bestFit="1" customWidth="1"/>
    <col min="14" max="14" width="11.7109375" style="328" bestFit="1" customWidth="1"/>
    <col min="15" max="15" width="9.5703125" style="328" bestFit="1" customWidth="1"/>
    <col min="16" max="16" width="11.7109375" style="328" bestFit="1" customWidth="1"/>
    <col min="17" max="17" width="9.140625" style="328"/>
    <col min="18" max="18" width="28.140625" style="328" hidden="1" customWidth="1"/>
    <col min="19" max="22" width="0" style="328" hidden="1" customWidth="1"/>
    <col min="23" max="16384" width="9.140625" style="328"/>
  </cols>
  <sheetData>
    <row r="1" spans="1:52">
      <c r="A1" s="288" t="s">
        <v>166</v>
      </c>
      <c r="C1" s="288" t="s">
        <v>100</v>
      </c>
      <c r="H1" s="289" t="s">
        <v>101</v>
      </c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  <c r="AM1" s="290"/>
      <c r="AN1" s="290"/>
      <c r="AO1" s="290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0"/>
    </row>
    <row r="2" spans="1:52" hidden="1"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0"/>
    </row>
    <row r="3" spans="1:52">
      <c r="A3" s="349" t="s">
        <v>102</v>
      </c>
      <c r="B3" s="349"/>
      <c r="C3" s="349"/>
      <c r="D3" s="349"/>
      <c r="E3" s="349"/>
      <c r="F3" s="349"/>
      <c r="G3" s="349"/>
      <c r="H3" s="349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0"/>
    </row>
    <row r="4" spans="1:52">
      <c r="A4" s="329" t="s">
        <v>103</v>
      </c>
      <c r="B4" s="291"/>
      <c r="C4" s="291"/>
      <c r="D4" s="291"/>
      <c r="E4" s="291"/>
      <c r="F4" s="291"/>
      <c r="G4" s="291"/>
      <c r="H4" s="291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</row>
    <row r="5" spans="1:52" hidden="1">
      <c r="B5" s="292"/>
      <c r="C5" s="292"/>
      <c r="D5" s="292"/>
      <c r="E5" s="292"/>
      <c r="F5" s="292"/>
      <c r="G5" s="292"/>
      <c r="H5" s="292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</row>
    <row r="6" spans="1:52"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</row>
    <row r="7" spans="1:52">
      <c r="A7" s="329" t="s">
        <v>104</v>
      </c>
      <c r="B7" s="293"/>
      <c r="C7" s="293" t="s">
        <v>105</v>
      </c>
      <c r="D7" s="293"/>
      <c r="E7" s="293"/>
      <c r="F7" s="293"/>
      <c r="G7" s="293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</row>
    <row r="8" spans="1:52">
      <c r="A8" s="293" t="s">
        <v>106</v>
      </c>
      <c r="B8" s="293"/>
      <c r="C8" s="294"/>
      <c r="D8" s="295"/>
      <c r="E8" s="295"/>
      <c r="F8" s="296">
        <v>6464.8835490350057</v>
      </c>
      <c r="G8" s="297" t="s">
        <v>90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</row>
    <row r="9" spans="1:52">
      <c r="A9" s="293" t="s">
        <v>107</v>
      </c>
      <c r="B9" s="293"/>
      <c r="C9" s="298"/>
      <c r="D9" s="298"/>
      <c r="E9" s="298"/>
      <c r="F9" s="298"/>
      <c r="G9" s="297" t="s">
        <v>90</v>
      </c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</row>
    <row r="10" spans="1:52" hidden="1">
      <c r="C10" s="292"/>
      <c r="D10" s="292"/>
      <c r="E10" s="292"/>
      <c r="F10" s="292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  <c r="AM10" s="290"/>
      <c r="AN10" s="290"/>
      <c r="AO10" s="290"/>
      <c r="AP10" s="290"/>
      <c r="AQ10" s="290"/>
      <c r="AR10" s="290"/>
      <c r="AS10" s="290"/>
      <c r="AT10" s="290"/>
      <c r="AU10" s="290"/>
      <c r="AV10" s="290"/>
      <c r="AW10" s="290"/>
      <c r="AX10" s="290"/>
      <c r="AY10" s="290"/>
      <c r="AZ10" s="290"/>
    </row>
    <row r="11" spans="1:52">
      <c r="A11" s="350"/>
      <c r="B11" s="350"/>
      <c r="C11" s="350"/>
      <c r="D11" s="350"/>
      <c r="E11" s="350"/>
      <c r="F11" s="350"/>
      <c r="G11" s="350"/>
      <c r="H11" s="35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  <c r="AW11" s="290"/>
      <c r="AX11" s="290"/>
      <c r="AY11" s="290"/>
      <c r="AZ11" s="290"/>
    </row>
    <row r="12" spans="1:52">
      <c r="A12" s="351" t="s">
        <v>91</v>
      </c>
      <c r="B12" s="351"/>
      <c r="C12" s="351"/>
      <c r="D12" s="351"/>
      <c r="E12" s="351"/>
      <c r="F12" s="351"/>
      <c r="G12" s="351"/>
      <c r="H12" s="351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</row>
    <row r="13" spans="1:52">
      <c r="A13" s="352" t="s">
        <v>105</v>
      </c>
      <c r="B13" s="352"/>
      <c r="C13" s="352"/>
      <c r="D13" s="352"/>
      <c r="E13" s="352"/>
      <c r="F13" s="352"/>
      <c r="G13" s="352"/>
      <c r="H13" s="352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0"/>
      <c r="AS13" s="290"/>
      <c r="AT13" s="290"/>
      <c r="AU13" s="290"/>
      <c r="AV13" s="290"/>
      <c r="AW13" s="290"/>
      <c r="AX13" s="290"/>
      <c r="AY13" s="290"/>
      <c r="AZ13" s="290"/>
    </row>
    <row r="14" spans="1:52"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0"/>
      <c r="AS14" s="290"/>
      <c r="AT14" s="290"/>
      <c r="AU14" s="290"/>
      <c r="AV14" s="290"/>
      <c r="AW14" s="290"/>
      <c r="AX14" s="290"/>
      <c r="AY14" s="290"/>
      <c r="AZ14" s="290"/>
    </row>
    <row r="15" spans="1:52">
      <c r="A15" s="353" t="s">
        <v>92</v>
      </c>
      <c r="B15" s="353"/>
      <c r="C15" s="353"/>
      <c r="D15" s="353"/>
      <c r="E15" s="353"/>
      <c r="F15" s="353"/>
      <c r="G15" s="353"/>
      <c r="H15" s="353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  <c r="AS15" s="290"/>
      <c r="AT15" s="290"/>
      <c r="AU15" s="290"/>
      <c r="AV15" s="290"/>
      <c r="AW15" s="290"/>
      <c r="AX15" s="290"/>
      <c r="AY15" s="290"/>
      <c r="AZ15" s="290"/>
    </row>
    <row r="16" spans="1:52" ht="27.75" customHeight="1">
      <c r="A16" s="348" t="s">
        <v>182</v>
      </c>
      <c r="B16" s="348"/>
      <c r="C16" s="348"/>
      <c r="D16" s="348"/>
      <c r="E16" s="348"/>
      <c r="F16" s="348"/>
      <c r="G16" s="348"/>
      <c r="H16" s="348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</row>
    <row r="17" spans="1:52">
      <c r="A17" s="292"/>
      <c r="B17" s="292"/>
      <c r="C17" s="292"/>
      <c r="D17" s="292"/>
      <c r="E17" s="292"/>
      <c r="F17" s="292"/>
      <c r="G17" s="292"/>
      <c r="H17" s="292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  <c r="AM17" s="290"/>
      <c r="AN17" s="290"/>
      <c r="AO17" s="290"/>
      <c r="AP17" s="290"/>
      <c r="AQ17" s="290"/>
      <c r="AR17" s="290"/>
      <c r="AS17" s="290"/>
      <c r="AT17" s="290"/>
      <c r="AU17" s="290"/>
      <c r="AV17" s="290"/>
      <c r="AW17" s="290"/>
      <c r="AX17" s="290"/>
      <c r="AY17" s="290"/>
      <c r="AZ17" s="290"/>
    </row>
    <row r="18" spans="1:52">
      <c r="A18" s="340" t="s">
        <v>167</v>
      </c>
      <c r="B18" s="340"/>
      <c r="C18" s="340"/>
      <c r="D18" s="340"/>
      <c r="E18" s="340"/>
      <c r="F18" s="340"/>
      <c r="G18" s="340"/>
      <c r="H18" s="34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</row>
    <row r="19" spans="1:52" ht="4.9000000000000004" customHeight="1"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  <c r="AM19" s="290"/>
      <c r="AN19" s="290"/>
      <c r="AO19" s="290"/>
      <c r="AP19" s="290"/>
      <c r="AQ19" s="290"/>
      <c r="AR19" s="290"/>
      <c r="AS19" s="290"/>
      <c r="AT19" s="290"/>
      <c r="AU19" s="290"/>
      <c r="AV19" s="290"/>
      <c r="AW19" s="290"/>
      <c r="AX19" s="290"/>
      <c r="AY19" s="290"/>
      <c r="AZ19" s="290"/>
    </row>
    <row r="20" spans="1:52" ht="5.0999999999999996" customHeight="1"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90"/>
      <c r="AP20" s="290"/>
      <c r="AQ20" s="290"/>
      <c r="AR20" s="290"/>
      <c r="AS20" s="290"/>
      <c r="AT20" s="290"/>
      <c r="AU20" s="290"/>
      <c r="AV20" s="290"/>
      <c r="AW20" s="290"/>
      <c r="AX20" s="290"/>
      <c r="AY20" s="290"/>
      <c r="AZ20" s="290"/>
    </row>
    <row r="21" spans="1:52" ht="11.1" customHeight="1">
      <c r="A21" s="343" t="s">
        <v>109</v>
      </c>
      <c r="B21" s="343" t="s">
        <v>110</v>
      </c>
      <c r="C21" s="343" t="s">
        <v>52</v>
      </c>
      <c r="D21" s="345" t="s">
        <v>111</v>
      </c>
      <c r="E21" s="346"/>
      <c r="F21" s="346"/>
      <c r="G21" s="347"/>
      <c r="H21" s="343" t="s">
        <v>112</v>
      </c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  <c r="AW21" s="290"/>
      <c r="AX21" s="290"/>
      <c r="AY21" s="290"/>
      <c r="AZ21" s="290"/>
    </row>
    <row r="22" spans="1:52" ht="54.95" customHeight="1" thickBot="1">
      <c r="A22" s="344"/>
      <c r="B22" s="344"/>
      <c r="C22" s="344"/>
      <c r="D22" s="299" t="s">
        <v>5</v>
      </c>
      <c r="E22" s="299" t="s">
        <v>6</v>
      </c>
      <c r="F22" s="299" t="s">
        <v>113</v>
      </c>
      <c r="G22" s="299" t="s">
        <v>8</v>
      </c>
      <c r="H22" s="344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</row>
    <row r="23" spans="1:52" ht="11.25" thickTop="1">
      <c r="A23" s="300">
        <v>1</v>
      </c>
      <c r="B23" s="300">
        <v>2</v>
      </c>
      <c r="C23" s="300">
        <v>3</v>
      </c>
      <c r="D23" s="300">
        <v>4</v>
      </c>
      <c r="E23" s="300">
        <v>5</v>
      </c>
      <c r="F23" s="300">
        <v>6</v>
      </c>
      <c r="G23" s="300">
        <v>7</v>
      </c>
      <c r="H23" s="300">
        <v>8</v>
      </c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90"/>
      <c r="AP23" s="290"/>
      <c r="AQ23" s="290"/>
      <c r="AR23" s="290"/>
      <c r="AS23" s="290"/>
      <c r="AT23" s="290"/>
      <c r="AU23" s="290"/>
      <c r="AV23" s="290"/>
      <c r="AW23" s="290"/>
      <c r="AX23" s="290"/>
      <c r="AY23" s="290"/>
      <c r="AZ23" s="290"/>
    </row>
    <row r="24" spans="1:52">
      <c r="A24" s="301"/>
      <c r="B24" s="301"/>
      <c r="C24" s="301"/>
      <c r="D24" s="301"/>
      <c r="E24" s="301"/>
      <c r="F24" s="301"/>
      <c r="G24" s="301"/>
      <c r="H24" s="301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0"/>
      <c r="AB24" s="290"/>
      <c r="AC24" s="290"/>
      <c r="AD24" s="290"/>
      <c r="AE24" s="290"/>
      <c r="AF24" s="290"/>
      <c r="AG24" s="290"/>
      <c r="AH24" s="290"/>
      <c r="AI24" s="290"/>
      <c r="AJ24" s="290"/>
      <c r="AK24" s="290"/>
      <c r="AL24" s="290"/>
      <c r="AM24" s="290"/>
      <c r="AN24" s="290"/>
      <c r="AO24" s="290"/>
      <c r="AP24" s="290"/>
      <c r="AQ24" s="290"/>
      <c r="AR24" s="290"/>
      <c r="AS24" s="290"/>
      <c r="AT24" s="290"/>
      <c r="AU24" s="290"/>
      <c r="AV24" s="290"/>
      <c r="AW24" s="290"/>
      <c r="AX24" s="290"/>
      <c r="AY24" s="290"/>
      <c r="AZ24" s="290"/>
    </row>
    <row r="25" spans="1:52" hidden="1">
      <c r="A25" s="301"/>
      <c r="B25" s="302" t="s">
        <v>114</v>
      </c>
      <c r="C25" s="302" t="s">
        <v>115</v>
      </c>
      <c r="D25" s="303"/>
      <c r="E25" s="303"/>
      <c r="F25" s="303"/>
      <c r="G25" s="303"/>
      <c r="H25" s="303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  <c r="AW25" s="290"/>
      <c r="AX25" s="290"/>
      <c r="AY25" s="290"/>
      <c r="AZ25" s="290"/>
    </row>
    <row r="26" spans="1:52" ht="31.5" hidden="1">
      <c r="A26" s="301"/>
      <c r="B26" s="302" t="s">
        <v>116</v>
      </c>
      <c r="C26" s="302" t="s">
        <v>117</v>
      </c>
      <c r="D26" s="304"/>
      <c r="E26" s="304"/>
      <c r="F26" s="304"/>
      <c r="G26" s="305">
        <v>0</v>
      </c>
      <c r="H26" s="304">
        <v>0</v>
      </c>
      <c r="I26" s="328">
        <v>3.99</v>
      </c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0"/>
      <c r="AQ26" s="290"/>
      <c r="AR26" s="290"/>
      <c r="AS26" s="290"/>
      <c r="AT26" s="290"/>
      <c r="AU26" s="290"/>
      <c r="AV26" s="290"/>
      <c r="AW26" s="290"/>
      <c r="AX26" s="290"/>
      <c r="AY26" s="290"/>
      <c r="AZ26" s="290"/>
    </row>
    <row r="27" spans="1:52" hidden="1">
      <c r="A27" s="301"/>
      <c r="B27" s="302" t="s">
        <v>118</v>
      </c>
      <c r="C27" s="302" t="s">
        <v>119</v>
      </c>
      <c r="D27" s="304"/>
      <c r="E27" s="304"/>
      <c r="F27" s="304"/>
      <c r="G27" s="305">
        <v>0</v>
      </c>
      <c r="H27" s="304">
        <v>0</v>
      </c>
      <c r="I27" s="328">
        <v>3.99</v>
      </c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0"/>
      <c r="AS27" s="290"/>
      <c r="AT27" s="290"/>
      <c r="AU27" s="290"/>
      <c r="AV27" s="290"/>
      <c r="AW27" s="290"/>
      <c r="AX27" s="290"/>
      <c r="AY27" s="290"/>
      <c r="AZ27" s="290"/>
    </row>
    <row r="28" spans="1:52" hidden="1">
      <c r="A28" s="301"/>
      <c r="B28" s="302"/>
      <c r="C28" s="302" t="s">
        <v>120</v>
      </c>
      <c r="D28" s="304"/>
      <c r="E28" s="304"/>
      <c r="F28" s="304"/>
      <c r="G28" s="304">
        <v>0</v>
      </c>
      <c r="H28" s="304">
        <v>0</v>
      </c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0"/>
      <c r="AQ28" s="290"/>
      <c r="AR28" s="290"/>
      <c r="AS28" s="290"/>
      <c r="AT28" s="290"/>
      <c r="AU28" s="290"/>
      <c r="AV28" s="290"/>
      <c r="AW28" s="290"/>
      <c r="AX28" s="290"/>
      <c r="AY28" s="290"/>
      <c r="AZ28" s="290"/>
    </row>
    <row r="29" spans="1:52" hidden="1">
      <c r="D29" s="304"/>
      <c r="E29" s="304"/>
      <c r="F29" s="304"/>
      <c r="G29" s="304"/>
      <c r="H29" s="304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290"/>
      <c r="AQ29" s="290"/>
      <c r="AR29" s="290"/>
      <c r="AS29" s="290"/>
      <c r="AT29" s="290"/>
      <c r="AU29" s="290"/>
      <c r="AV29" s="290"/>
      <c r="AW29" s="290"/>
      <c r="AX29" s="290"/>
      <c r="AY29" s="290"/>
      <c r="AZ29" s="290"/>
    </row>
    <row r="30" spans="1:52">
      <c r="B30" s="306" t="s">
        <v>121</v>
      </c>
      <c r="C30" s="306" t="s">
        <v>122</v>
      </c>
      <c r="D30" s="304"/>
      <c r="E30" s="304"/>
      <c r="F30" s="304"/>
      <c r="G30" s="304"/>
      <c r="H30" s="304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  <c r="AQ30" s="290"/>
      <c r="AR30" s="290"/>
      <c r="AS30" s="290"/>
      <c r="AT30" s="290"/>
      <c r="AU30" s="290"/>
      <c r="AV30" s="290"/>
      <c r="AW30" s="290"/>
      <c r="AX30" s="290"/>
      <c r="AY30" s="290"/>
      <c r="AZ30" s="290"/>
    </row>
    <row r="31" spans="1:52">
      <c r="A31" s="307">
        <v>1</v>
      </c>
      <c r="B31" s="334">
        <v>1</v>
      </c>
      <c r="C31" s="308" t="s">
        <v>183</v>
      </c>
      <c r="D31" s="307">
        <v>598.88499999999999</v>
      </c>
      <c r="E31" s="307">
        <v>1276.0360000000001</v>
      </c>
      <c r="F31" s="307">
        <v>3540</v>
      </c>
      <c r="G31" s="307"/>
      <c r="H31" s="304">
        <v>5414.9210000000003</v>
      </c>
      <c r="I31" s="328">
        <v>2</v>
      </c>
      <c r="J31" s="328">
        <v>3.52</v>
      </c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  <c r="AQ31" s="290"/>
      <c r="AR31" s="290"/>
      <c r="AS31" s="290"/>
      <c r="AT31" s="290"/>
      <c r="AU31" s="290"/>
      <c r="AV31" s="290"/>
      <c r="AW31" s="290"/>
      <c r="AX31" s="290"/>
      <c r="AY31" s="290"/>
      <c r="AZ31" s="290"/>
    </row>
    <row r="32" spans="1:52">
      <c r="A32" s="307">
        <v>2</v>
      </c>
      <c r="B32" s="334">
        <v>2</v>
      </c>
      <c r="C32" s="308" t="s">
        <v>184</v>
      </c>
      <c r="D32" s="307"/>
      <c r="E32" s="307">
        <v>67.468999999999994</v>
      </c>
      <c r="F32" s="307">
        <v>38.585000000000001</v>
      </c>
      <c r="G32" s="307"/>
      <c r="H32" s="304">
        <v>106.054</v>
      </c>
      <c r="I32" s="328">
        <v>2</v>
      </c>
      <c r="J32" s="328">
        <v>3.52</v>
      </c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N32" s="290"/>
      <c r="AO32" s="290"/>
      <c r="AP32" s="290"/>
      <c r="AQ32" s="290"/>
      <c r="AR32" s="290"/>
      <c r="AS32" s="290"/>
      <c r="AT32" s="290"/>
      <c r="AU32" s="290"/>
      <c r="AV32" s="290"/>
      <c r="AW32" s="290"/>
      <c r="AX32" s="290"/>
      <c r="AY32" s="290"/>
      <c r="AZ32" s="290"/>
    </row>
    <row r="33" spans="1:52">
      <c r="A33" s="307"/>
      <c r="B33" s="308"/>
      <c r="C33" s="308"/>
      <c r="D33" s="307"/>
      <c r="E33" s="307"/>
      <c r="F33" s="307"/>
      <c r="G33" s="307"/>
      <c r="H33" s="304">
        <v>0</v>
      </c>
      <c r="I33" s="328">
        <v>2</v>
      </c>
      <c r="J33" s="328">
        <v>3.19</v>
      </c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  <c r="AS33" s="290"/>
      <c r="AT33" s="290"/>
      <c r="AU33" s="290"/>
      <c r="AV33" s="290"/>
      <c r="AW33" s="290"/>
      <c r="AX33" s="290"/>
      <c r="AY33" s="290"/>
      <c r="AZ33" s="290"/>
    </row>
    <row r="34" spans="1:52">
      <c r="A34" s="307"/>
      <c r="B34" s="308"/>
      <c r="C34" s="308"/>
      <c r="D34" s="310"/>
      <c r="E34" s="310"/>
      <c r="F34" s="310"/>
      <c r="G34" s="310"/>
      <c r="H34" s="304">
        <v>0</v>
      </c>
      <c r="I34" s="328">
        <v>2</v>
      </c>
      <c r="J34" s="328">
        <v>3.19</v>
      </c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N34" s="290"/>
      <c r="AO34" s="290"/>
      <c r="AP34" s="290"/>
      <c r="AQ34" s="290"/>
      <c r="AR34" s="290"/>
      <c r="AS34" s="290"/>
      <c r="AT34" s="290"/>
      <c r="AU34" s="290"/>
      <c r="AV34" s="290"/>
      <c r="AW34" s="290"/>
      <c r="AX34" s="290"/>
      <c r="AY34" s="290"/>
      <c r="AZ34" s="290"/>
    </row>
    <row r="35" spans="1:52">
      <c r="B35" s="306"/>
      <c r="C35" s="306" t="s">
        <v>123</v>
      </c>
      <c r="D35" s="304">
        <v>598.88499999999999</v>
      </c>
      <c r="E35" s="304">
        <v>1343.5050000000001</v>
      </c>
      <c r="F35" s="304">
        <v>3578.585</v>
      </c>
      <c r="G35" s="304">
        <v>0</v>
      </c>
      <c r="H35" s="304">
        <v>5520.9750000000004</v>
      </c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0"/>
      <c r="AO35" s="290"/>
      <c r="AP35" s="290"/>
      <c r="AQ35" s="290"/>
      <c r="AR35" s="290"/>
      <c r="AS35" s="290"/>
      <c r="AT35" s="290"/>
      <c r="AU35" s="290"/>
      <c r="AV35" s="290"/>
      <c r="AW35" s="290"/>
      <c r="AX35" s="290"/>
      <c r="AY35" s="290"/>
      <c r="AZ35" s="290"/>
    </row>
    <row r="36" spans="1:52">
      <c r="B36" s="306"/>
      <c r="C36" s="306" t="s">
        <v>124</v>
      </c>
      <c r="D36" s="304">
        <v>598.88499999999999</v>
      </c>
      <c r="E36" s="304">
        <v>1343.5050000000001</v>
      </c>
      <c r="F36" s="304">
        <v>3578.585</v>
      </c>
      <c r="G36" s="304">
        <v>0</v>
      </c>
      <c r="H36" s="304">
        <v>5520.9750000000004</v>
      </c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0"/>
      <c r="AR36" s="290"/>
      <c r="AS36" s="290"/>
      <c r="AT36" s="290"/>
      <c r="AU36" s="290"/>
      <c r="AV36" s="290"/>
      <c r="AW36" s="290"/>
      <c r="AX36" s="290"/>
      <c r="AY36" s="290"/>
      <c r="AZ36" s="290"/>
    </row>
    <row r="37" spans="1:52">
      <c r="D37" s="309"/>
      <c r="E37" s="309"/>
      <c r="F37" s="309"/>
      <c r="G37" s="309"/>
      <c r="H37" s="309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0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</row>
    <row r="38" spans="1:52">
      <c r="B38" s="306" t="s">
        <v>125</v>
      </c>
      <c r="C38" s="306" t="s">
        <v>126</v>
      </c>
      <c r="D38" s="309"/>
      <c r="E38" s="309"/>
      <c r="F38" s="309"/>
      <c r="G38" s="309"/>
      <c r="H38" s="309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0"/>
      <c r="AQ38" s="290"/>
      <c r="AR38" s="290"/>
      <c r="AS38" s="290"/>
      <c r="AT38" s="290"/>
      <c r="AU38" s="290"/>
      <c r="AV38" s="290"/>
      <c r="AW38" s="290"/>
      <c r="AX38" s="290"/>
      <c r="AY38" s="290"/>
      <c r="AZ38" s="290"/>
    </row>
    <row r="39" spans="1:52" ht="21">
      <c r="B39" s="306" t="s">
        <v>57</v>
      </c>
      <c r="C39" s="306" t="s">
        <v>127</v>
      </c>
      <c r="D39" s="304">
        <v>11.9777</v>
      </c>
      <c r="E39" s="304">
        <v>26.870100000000001</v>
      </c>
      <c r="F39" s="304"/>
      <c r="G39" s="304"/>
      <c r="H39" s="304">
        <v>38.847799999999999</v>
      </c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0"/>
      <c r="AQ39" s="290"/>
      <c r="AR39" s="290"/>
      <c r="AS39" s="290"/>
      <c r="AT39" s="290"/>
      <c r="AU39" s="290"/>
      <c r="AV39" s="290"/>
      <c r="AW39" s="290"/>
      <c r="AX39" s="290"/>
      <c r="AY39" s="290"/>
      <c r="AZ39" s="290"/>
    </row>
    <row r="40" spans="1:52">
      <c r="B40" s="306"/>
      <c r="C40" s="306" t="s">
        <v>128</v>
      </c>
      <c r="D40" s="304">
        <v>11.9777</v>
      </c>
      <c r="E40" s="304">
        <v>26.870100000000001</v>
      </c>
      <c r="F40" s="304"/>
      <c r="G40" s="304"/>
      <c r="H40" s="304">
        <v>38.847799999999999</v>
      </c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  <c r="AS40" s="290"/>
      <c r="AT40" s="290"/>
      <c r="AU40" s="290"/>
      <c r="AV40" s="290"/>
      <c r="AW40" s="290"/>
      <c r="AX40" s="290"/>
      <c r="AY40" s="290"/>
      <c r="AZ40" s="290"/>
    </row>
    <row r="41" spans="1:52">
      <c r="B41" s="306"/>
      <c r="C41" s="306" t="s">
        <v>129</v>
      </c>
      <c r="D41" s="304">
        <v>610.86270000000002</v>
      </c>
      <c r="E41" s="304">
        <v>1370.3751000000002</v>
      </c>
      <c r="F41" s="304">
        <v>3578.585</v>
      </c>
      <c r="G41" s="304">
        <v>0</v>
      </c>
      <c r="H41" s="304">
        <v>5559.8227999999999</v>
      </c>
      <c r="K41" s="290"/>
      <c r="L41" s="290"/>
      <c r="M41" s="290"/>
      <c r="N41" s="290"/>
      <c r="O41" s="290"/>
      <c r="P41" s="290"/>
      <c r="Q41" s="290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  <c r="AS41" s="290"/>
      <c r="AT41" s="290"/>
      <c r="AU41" s="290"/>
      <c r="AV41" s="290"/>
      <c r="AW41" s="290"/>
      <c r="AX41" s="290"/>
      <c r="AY41" s="290"/>
      <c r="AZ41" s="290"/>
    </row>
    <row r="42" spans="1:52">
      <c r="B42" s="306"/>
      <c r="C42" s="306" t="s">
        <v>130</v>
      </c>
      <c r="D42" s="304">
        <v>610.86270000000002</v>
      </c>
      <c r="E42" s="304">
        <v>1370.3751000000002</v>
      </c>
      <c r="F42" s="304"/>
      <c r="G42" s="304"/>
      <c r="H42" s="304">
        <v>1981.2378000000003</v>
      </c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290"/>
      <c r="AQ42" s="290"/>
      <c r="AR42" s="290"/>
      <c r="AS42" s="290"/>
      <c r="AT42" s="290"/>
      <c r="AU42" s="290"/>
      <c r="AV42" s="290"/>
      <c r="AW42" s="290"/>
      <c r="AX42" s="290"/>
      <c r="AY42" s="290"/>
      <c r="AZ42" s="290"/>
    </row>
    <row r="43" spans="1:52">
      <c r="D43" s="304"/>
      <c r="E43" s="304"/>
      <c r="F43" s="309"/>
      <c r="G43" s="309"/>
      <c r="H43" s="304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0"/>
      <c r="AE43" s="290"/>
      <c r="AF43" s="29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0"/>
      <c r="AQ43" s="290"/>
      <c r="AR43" s="290"/>
      <c r="AS43" s="290"/>
      <c r="AT43" s="290"/>
      <c r="AU43" s="290"/>
      <c r="AV43" s="290"/>
      <c r="AW43" s="290"/>
      <c r="AX43" s="290"/>
      <c r="AY43" s="290"/>
      <c r="AZ43" s="290"/>
    </row>
    <row r="44" spans="1:52">
      <c r="B44" s="306" t="s">
        <v>131</v>
      </c>
      <c r="C44" s="306" t="s">
        <v>132</v>
      </c>
      <c r="D44" s="304"/>
      <c r="E44" s="304"/>
      <c r="F44" s="309"/>
      <c r="G44" s="309"/>
      <c r="H44" s="304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S44" s="290"/>
      <c r="AT44" s="290"/>
      <c r="AU44" s="290"/>
      <c r="AV44" s="290"/>
      <c r="AW44" s="290"/>
      <c r="AX44" s="290"/>
      <c r="AY44" s="290"/>
      <c r="AZ44" s="290"/>
    </row>
    <row r="45" spans="1:52" ht="21">
      <c r="B45" s="306" t="s">
        <v>58</v>
      </c>
      <c r="C45" s="306" t="s">
        <v>133</v>
      </c>
      <c r="D45" s="304">
        <v>21.502367039999999</v>
      </c>
      <c r="E45" s="304">
        <v>48.237203520000001</v>
      </c>
      <c r="F45" s="304"/>
      <c r="G45" s="304"/>
      <c r="H45" s="304">
        <v>69.739570560000004</v>
      </c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290"/>
      <c r="AQ45" s="290"/>
      <c r="AR45" s="290"/>
      <c r="AS45" s="290"/>
      <c r="AT45" s="290"/>
      <c r="AU45" s="290"/>
      <c r="AV45" s="290"/>
      <c r="AW45" s="290"/>
      <c r="AX45" s="290"/>
      <c r="AY45" s="290"/>
      <c r="AZ45" s="290"/>
    </row>
    <row r="46" spans="1:52" ht="34.5" customHeight="1">
      <c r="B46" s="306" t="s">
        <v>134</v>
      </c>
      <c r="C46" s="311" t="s">
        <v>185</v>
      </c>
      <c r="D46" s="304"/>
      <c r="E46" s="304"/>
      <c r="F46" s="304"/>
      <c r="G46" s="304">
        <v>63.170103013248017</v>
      </c>
      <c r="H46" s="304">
        <v>63.170103013248017</v>
      </c>
      <c r="I46" s="328">
        <v>3.08</v>
      </c>
      <c r="K46" s="290"/>
      <c r="L46" s="290"/>
      <c r="M46" s="290"/>
      <c r="N46" s="290"/>
      <c r="O46" s="290"/>
      <c r="P46" s="290"/>
      <c r="Q46" s="290"/>
      <c r="R46" s="290"/>
      <c r="S46" s="290"/>
      <c r="T46" s="290"/>
      <c r="U46" s="290"/>
      <c r="V46" s="290"/>
      <c r="W46" s="290"/>
      <c r="X46" s="290"/>
      <c r="Y46" s="290"/>
      <c r="Z46" s="290"/>
      <c r="AA46" s="290"/>
      <c r="AB46" s="290"/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0"/>
      <c r="AR46" s="290"/>
      <c r="AS46" s="290"/>
      <c r="AT46" s="290"/>
      <c r="AU46" s="290"/>
      <c r="AV46" s="290"/>
      <c r="AW46" s="290"/>
      <c r="AX46" s="290"/>
      <c r="AY46" s="290"/>
      <c r="AZ46" s="290"/>
    </row>
    <row r="47" spans="1:52" ht="31.5">
      <c r="B47" s="302" t="s">
        <v>135</v>
      </c>
      <c r="C47" s="306" t="s">
        <v>136</v>
      </c>
      <c r="D47" s="303"/>
      <c r="E47" s="303"/>
      <c r="F47" s="303"/>
      <c r="G47" s="312">
        <v>0</v>
      </c>
      <c r="H47" s="304">
        <v>0</v>
      </c>
      <c r="I47" s="328">
        <v>1</v>
      </c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  <c r="AS47" s="290"/>
      <c r="AT47" s="290"/>
      <c r="AU47" s="290"/>
      <c r="AV47" s="290"/>
      <c r="AW47" s="290"/>
      <c r="AX47" s="290"/>
      <c r="AY47" s="290"/>
      <c r="AZ47" s="290"/>
    </row>
    <row r="48" spans="1:52">
      <c r="B48" s="306"/>
      <c r="C48" s="306" t="s">
        <v>138</v>
      </c>
      <c r="D48" s="304">
        <v>21.502367039999999</v>
      </c>
      <c r="E48" s="304">
        <v>48.237203520000001</v>
      </c>
      <c r="F48" s="304">
        <v>0</v>
      </c>
      <c r="G48" s="304">
        <v>63.170103013248017</v>
      </c>
      <c r="H48" s="304">
        <v>132.90967357324803</v>
      </c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</row>
    <row r="49" spans="1:52">
      <c r="B49" s="306"/>
      <c r="C49" s="306" t="s">
        <v>139</v>
      </c>
      <c r="D49" s="304">
        <v>632.36506703999999</v>
      </c>
      <c r="E49" s="304">
        <v>1418.6123035200003</v>
      </c>
      <c r="F49" s="304">
        <v>3578.585</v>
      </c>
      <c r="G49" s="304">
        <v>63.170103013248017</v>
      </c>
      <c r="H49" s="304">
        <v>5692.7324735732482</v>
      </c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  <c r="AW49" s="290"/>
      <c r="AX49" s="290"/>
      <c r="AY49" s="290"/>
      <c r="AZ49" s="290"/>
    </row>
    <row r="50" spans="1:52">
      <c r="D50" s="309"/>
      <c r="E50" s="309"/>
      <c r="F50" s="309"/>
      <c r="G50" s="309"/>
      <c r="H50" s="309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  <c r="AF50" s="290"/>
      <c r="AG50" s="290"/>
      <c r="AH50" s="290"/>
      <c r="AI50" s="290"/>
      <c r="AJ50" s="290"/>
      <c r="AK50" s="290"/>
      <c r="AL50" s="290"/>
      <c r="AM50" s="290"/>
      <c r="AN50" s="290"/>
      <c r="AO50" s="290"/>
      <c r="AP50" s="290"/>
      <c r="AQ50" s="290"/>
      <c r="AR50" s="290"/>
      <c r="AS50" s="290"/>
      <c r="AT50" s="290"/>
      <c r="AU50" s="290"/>
      <c r="AV50" s="290"/>
      <c r="AW50" s="290"/>
      <c r="AX50" s="290"/>
      <c r="AY50" s="290"/>
      <c r="AZ50" s="290"/>
    </row>
    <row r="51" spans="1:52">
      <c r="B51" s="306" t="s">
        <v>140</v>
      </c>
      <c r="C51" s="306" t="s">
        <v>141</v>
      </c>
      <c r="D51" s="309"/>
      <c r="E51" s="309"/>
      <c r="F51" s="309"/>
      <c r="G51" s="309"/>
      <c r="H51" s="309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  <c r="AW51" s="290"/>
      <c r="AX51" s="290"/>
      <c r="AY51" s="290"/>
      <c r="AZ51" s="290"/>
    </row>
    <row r="52" spans="1:52" ht="31.5">
      <c r="B52" s="306" t="s">
        <v>142</v>
      </c>
      <c r="C52" s="311" t="s">
        <v>143</v>
      </c>
      <c r="D52" s="304"/>
      <c r="E52" s="304"/>
      <c r="F52" s="304"/>
      <c r="G52" s="304">
        <v>121.82447493446753</v>
      </c>
      <c r="H52" s="304">
        <v>121.82447493446753</v>
      </c>
      <c r="I52" s="328">
        <v>2.14</v>
      </c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  <c r="AS52" s="290"/>
      <c r="AT52" s="290"/>
      <c r="AU52" s="290"/>
      <c r="AV52" s="290"/>
      <c r="AW52" s="290"/>
      <c r="AX52" s="290"/>
      <c r="AY52" s="290"/>
      <c r="AZ52" s="290"/>
    </row>
    <row r="53" spans="1:52" ht="31.5">
      <c r="B53" s="306" t="s">
        <v>142</v>
      </c>
      <c r="C53" s="311" t="s">
        <v>144</v>
      </c>
      <c r="D53" s="304"/>
      <c r="E53" s="304"/>
      <c r="F53" s="304"/>
      <c r="G53" s="304">
        <v>122.96302142918218</v>
      </c>
      <c r="H53" s="304">
        <v>122.96302142918218</v>
      </c>
      <c r="I53" s="328">
        <v>2.16</v>
      </c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  <c r="AS53" s="290"/>
      <c r="AT53" s="290"/>
      <c r="AU53" s="290"/>
      <c r="AV53" s="290"/>
      <c r="AW53" s="290"/>
      <c r="AX53" s="290"/>
      <c r="AY53" s="290"/>
      <c r="AZ53" s="290"/>
    </row>
    <row r="54" spans="1:52">
      <c r="B54" s="306"/>
      <c r="C54" s="306" t="s">
        <v>145</v>
      </c>
      <c r="D54" s="304"/>
      <c r="E54" s="304"/>
      <c r="F54" s="304"/>
      <c r="G54" s="304">
        <v>244.78749636364972</v>
      </c>
      <c r="H54" s="304">
        <v>244.78749636364972</v>
      </c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0"/>
      <c r="AQ54" s="290"/>
      <c r="AR54" s="290"/>
      <c r="AS54" s="290"/>
      <c r="AT54" s="290"/>
      <c r="AU54" s="290"/>
      <c r="AV54" s="290"/>
      <c r="AW54" s="290"/>
      <c r="AX54" s="290"/>
      <c r="AY54" s="290"/>
      <c r="AZ54" s="290"/>
    </row>
    <row r="55" spans="1:52">
      <c r="D55" s="309"/>
      <c r="E55" s="309"/>
      <c r="F55" s="309"/>
      <c r="G55" s="309"/>
      <c r="H55" s="309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290"/>
      <c r="AL55" s="290"/>
      <c r="AM55" s="290"/>
      <c r="AN55" s="290"/>
      <c r="AO55" s="290"/>
      <c r="AP55" s="290"/>
      <c r="AQ55" s="290"/>
      <c r="AR55" s="290"/>
      <c r="AS55" s="290"/>
      <c r="AT55" s="290"/>
      <c r="AU55" s="290"/>
      <c r="AV55" s="290"/>
      <c r="AW55" s="290"/>
      <c r="AX55" s="290"/>
      <c r="AY55" s="290"/>
      <c r="AZ55" s="290"/>
    </row>
    <row r="56" spans="1:52" ht="11.25" thickBot="1">
      <c r="B56" s="306" t="s">
        <v>146</v>
      </c>
      <c r="C56" s="306" t="s">
        <v>147</v>
      </c>
      <c r="D56" s="309"/>
      <c r="E56" s="309"/>
      <c r="F56" s="309"/>
      <c r="G56" s="309"/>
      <c r="H56" s="309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0"/>
      <c r="AS56" s="290"/>
      <c r="AT56" s="290"/>
      <c r="AU56" s="290"/>
      <c r="AV56" s="290"/>
      <c r="AW56" s="290"/>
      <c r="AX56" s="290"/>
      <c r="AY56" s="290"/>
      <c r="AZ56" s="290"/>
    </row>
    <row r="57" spans="1:52" ht="11.25" thickBot="1">
      <c r="B57" s="306" t="s">
        <v>148</v>
      </c>
      <c r="C57" s="306" t="s">
        <v>149</v>
      </c>
      <c r="D57" s="304"/>
      <c r="E57" s="304"/>
      <c r="F57" s="304"/>
      <c r="G57" s="313">
        <v>333.52947</v>
      </c>
      <c r="H57" s="304">
        <f>G57</f>
        <v>333.52947</v>
      </c>
      <c r="I57" s="328">
        <v>3.99</v>
      </c>
      <c r="J57" s="314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290"/>
      <c r="AU57" s="290"/>
      <c r="AV57" s="290"/>
      <c r="AW57" s="290"/>
      <c r="AX57" s="290"/>
      <c r="AY57" s="290"/>
      <c r="AZ57" s="290"/>
    </row>
    <row r="58" spans="1:52">
      <c r="B58" s="306"/>
      <c r="C58" s="306" t="s">
        <v>150</v>
      </c>
      <c r="D58" s="304"/>
      <c r="E58" s="304"/>
      <c r="F58" s="304"/>
      <c r="G58" s="313"/>
      <c r="H58" s="304">
        <v>0</v>
      </c>
      <c r="I58" s="328">
        <v>3.99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  <c r="AN58" s="290"/>
      <c r="AO58" s="290"/>
      <c r="AP58" s="290"/>
      <c r="AQ58" s="290"/>
      <c r="AR58" s="290"/>
      <c r="AS58" s="290"/>
      <c r="AT58" s="290"/>
      <c r="AU58" s="290"/>
      <c r="AV58" s="290"/>
      <c r="AW58" s="290"/>
      <c r="AX58" s="290"/>
      <c r="AY58" s="290"/>
      <c r="AZ58" s="290"/>
    </row>
    <row r="59" spans="1:52">
      <c r="B59" s="306"/>
      <c r="C59" s="306" t="s">
        <v>151</v>
      </c>
      <c r="D59" s="304"/>
      <c r="E59" s="304"/>
      <c r="F59" s="304"/>
      <c r="G59" s="304">
        <f>G57</f>
        <v>333.52947</v>
      </c>
      <c r="H59" s="304">
        <f>G59</f>
        <v>333.52947</v>
      </c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0"/>
      <c r="AQ59" s="290"/>
      <c r="AR59" s="290"/>
      <c r="AS59" s="290"/>
      <c r="AT59" s="290"/>
      <c r="AU59" s="290"/>
      <c r="AV59" s="290"/>
      <c r="AW59" s="290"/>
      <c r="AX59" s="290"/>
      <c r="AY59" s="290"/>
      <c r="AZ59" s="290"/>
    </row>
    <row r="60" spans="1:52">
      <c r="B60" s="306"/>
      <c r="C60" s="306" t="s">
        <v>152</v>
      </c>
      <c r="D60" s="304">
        <v>632.36506703999999</v>
      </c>
      <c r="E60" s="304">
        <v>1418.6123035200003</v>
      </c>
      <c r="F60" s="304">
        <v>3578.585</v>
      </c>
      <c r="G60" s="304">
        <v>641.48706937689803</v>
      </c>
      <c r="H60" s="304">
        <v>6271.0494399368981</v>
      </c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0"/>
      <c r="AS60" s="290"/>
      <c r="AT60" s="290"/>
      <c r="AU60" s="290"/>
      <c r="AV60" s="290"/>
      <c r="AW60" s="290"/>
      <c r="AX60" s="290"/>
      <c r="AY60" s="290"/>
      <c r="AZ60" s="290"/>
    </row>
    <row r="61" spans="1:52">
      <c r="B61" s="306" t="s">
        <v>153</v>
      </c>
      <c r="C61" s="306" t="s">
        <v>154</v>
      </c>
      <c r="D61" s="304">
        <v>18.970952011199998</v>
      </c>
      <c r="E61" s="304">
        <v>42.558369105600008</v>
      </c>
      <c r="F61" s="304">
        <v>107.35755</v>
      </c>
      <c r="G61" s="304">
        <v>19.244612081306901</v>
      </c>
      <c r="H61" s="304">
        <v>188.13148319810696</v>
      </c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90"/>
      <c r="AH61" s="290"/>
      <c r="AI61" s="290"/>
      <c r="AJ61" s="290"/>
      <c r="AK61" s="290"/>
      <c r="AL61" s="290"/>
      <c r="AM61" s="290"/>
      <c r="AN61" s="290"/>
      <c r="AO61" s="290"/>
      <c r="AP61" s="290"/>
      <c r="AQ61" s="290"/>
      <c r="AR61" s="290"/>
      <c r="AS61" s="290"/>
      <c r="AT61" s="290"/>
      <c r="AU61" s="290"/>
      <c r="AV61" s="290"/>
      <c r="AW61" s="290"/>
      <c r="AX61" s="290"/>
      <c r="AY61" s="290"/>
      <c r="AZ61" s="290"/>
    </row>
    <row r="62" spans="1:52">
      <c r="B62" s="306"/>
      <c r="C62" s="306" t="s">
        <v>155</v>
      </c>
      <c r="D62" s="304">
        <v>651.33601905119997</v>
      </c>
      <c r="E62" s="304">
        <v>1461.1706726256002</v>
      </c>
      <c r="F62" s="304">
        <v>3685.9425500000002</v>
      </c>
      <c r="G62" s="304">
        <v>660.7316814582</v>
      </c>
      <c r="H62" s="304">
        <v>6459.1809231350053</v>
      </c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  <c r="AH62" s="290"/>
      <c r="AI62" s="290"/>
      <c r="AJ62" s="290"/>
      <c r="AK62" s="290"/>
      <c r="AL62" s="290"/>
      <c r="AM62" s="290"/>
      <c r="AN62" s="290"/>
      <c r="AO62" s="290"/>
      <c r="AP62" s="290"/>
      <c r="AQ62" s="290"/>
      <c r="AR62" s="290"/>
      <c r="AS62" s="290"/>
      <c r="AT62" s="290"/>
      <c r="AU62" s="290"/>
      <c r="AV62" s="290"/>
      <c r="AW62" s="290"/>
      <c r="AX62" s="290"/>
      <c r="AY62" s="290"/>
      <c r="AZ62" s="290"/>
    </row>
    <row r="63" spans="1:52"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90"/>
      <c r="AH63" s="290"/>
      <c r="AI63" s="290"/>
      <c r="AJ63" s="290"/>
      <c r="AK63" s="290"/>
      <c r="AL63" s="290"/>
      <c r="AM63" s="290"/>
      <c r="AN63" s="290"/>
      <c r="AO63" s="290"/>
      <c r="AP63" s="290"/>
      <c r="AQ63" s="290"/>
      <c r="AR63" s="290"/>
      <c r="AS63" s="290"/>
      <c r="AT63" s="290"/>
      <c r="AU63" s="290"/>
      <c r="AV63" s="290"/>
      <c r="AW63" s="290"/>
      <c r="AX63" s="290"/>
      <c r="AY63" s="290"/>
      <c r="AZ63" s="290"/>
    </row>
    <row r="64" spans="1:52">
      <c r="A64" s="342" t="s">
        <v>156</v>
      </c>
      <c r="B64" s="342"/>
      <c r="C64" s="340"/>
      <c r="D64" s="340"/>
      <c r="E64" s="340"/>
      <c r="F64" s="340"/>
      <c r="G64" s="340"/>
      <c r="H64" s="34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  <c r="AA64" s="290"/>
      <c r="AB64" s="290"/>
      <c r="AC64" s="290"/>
      <c r="AD64" s="290"/>
      <c r="AE64" s="290"/>
      <c r="AF64" s="290"/>
      <c r="AG64" s="290"/>
      <c r="AH64" s="290"/>
      <c r="AI64" s="290"/>
      <c r="AJ64" s="290"/>
      <c r="AK64" s="290"/>
      <c r="AL64" s="290"/>
      <c r="AM64" s="290"/>
      <c r="AN64" s="290"/>
      <c r="AO64" s="290"/>
      <c r="AP64" s="290"/>
      <c r="AQ64" s="290"/>
      <c r="AR64" s="290"/>
      <c r="AS64" s="290"/>
      <c r="AT64" s="290"/>
      <c r="AU64" s="290"/>
      <c r="AV64" s="290"/>
      <c r="AW64" s="290"/>
      <c r="AX64" s="290"/>
      <c r="AY64" s="290"/>
      <c r="AZ64" s="290"/>
    </row>
    <row r="65" spans="1:52">
      <c r="C65" s="341" t="s">
        <v>157</v>
      </c>
      <c r="D65" s="341"/>
      <c r="E65" s="341"/>
      <c r="F65" s="341"/>
      <c r="G65" s="341"/>
      <c r="H65" s="341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290"/>
      <c r="AC65" s="290"/>
      <c r="AD65" s="290"/>
      <c r="AE65" s="290"/>
      <c r="AF65" s="290"/>
      <c r="AG65" s="290"/>
      <c r="AH65" s="290"/>
      <c r="AI65" s="290"/>
      <c r="AJ65" s="290"/>
      <c r="AK65" s="290"/>
      <c r="AL65" s="290"/>
      <c r="AM65" s="290"/>
      <c r="AN65" s="290"/>
      <c r="AO65" s="290"/>
      <c r="AP65" s="290"/>
      <c r="AQ65" s="290"/>
      <c r="AR65" s="290"/>
      <c r="AS65" s="290"/>
      <c r="AT65" s="290"/>
      <c r="AU65" s="290"/>
      <c r="AV65" s="290"/>
      <c r="AW65" s="290"/>
      <c r="AX65" s="290"/>
      <c r="AY65" s="290"/>
      <c r="AZ65" s="290"/>
    </row>
    <row r="66" spans="1:52"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0"/>
      <c r="AA66" s="290"/>
      <c r="AB66" s="290"/>
      <c r="AC66" s="290"/>
      <c r="AD66" s="290"/>
      <c r="AE66" s="290"/>
      <c r="AF66" s="290"/>
      <c r="AG66" s="290"/>
      <c r="AH66" s="290"/>
      <c r="AI66" s="290"/>
      <c r="AJ66" s="290"/>
      <c r="AK66" s="290"/>
      <c r="AL66" s="290"/>
      <c r="AM66" s="290"/>
      <c r="AN66" s="290"/>
      <c r="AO66" s="290"/>
      <c r="AP66" s="290"/>
      <c r="AQ66" s="290"/>
      <c r="AR66" s="290"/>
      <c r="AS66" s="290"/>
      <c r="AT66" s="290"/>
      <c r="AU66" s="290"/>
      <c r="AV66" s="290"/>
      <c r="AW66" s="290"/>
      <c r="AX66" s="290"/>
      <c r="AY66" s="290"/>
      <c r="AZ66" s="290"/>
    </row>
    <row r="67" spans="1:52">
      <c r="A67" s="339" t="s">
        <v>158</v>
      </c>
      <c r="B67" s="339"/>
      <c r="C67" s="330" t="s">
        <v>159</v>
      </c>
      <c r="D67" s="329" t="s">
        <v>160</v>
      </c>
      <c r="E67" s="340" t="s">
        <v>161</v>
      </c>
      <c r="F67" s="340"/>
      <c r="G67" s="340"/>
      <c r="H67" s="34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290"/>
      <c r="AK67" s="290"/>
      <c r="AL67" s="290"/>
      <c r="AM67" s="290"/>
      <c r="AN67" s="290"/>
      <c r="AO67" s="290"/>
      <c r="AP67" s="290"/>
      <c r="AQ67" s="290"/>
      <c r="AR67" s="290"/>
      <c r="AS67" s="290"/>
      <c r="AT67" s="290"/>
      <c r="AU67" s="290"/>
      <c r="AV67" s="290"/>
      <c r="AW67" s="290"/>
      <c r="AX67" s="290"/>
      <c r="AY67" s="290"/>
      <c r="AZ67" s="290"/>
    </row>
    <row r="68" spans="1:52">
      <c r="C68" s="315" t="s">
        <v>162</v>
      </c>
      <c r="E68" s="341" t="s">
        <v>157</v>
      </c>
      <c r="F68" s="341"/>
      <c r="G68" s="341"/>
      <c r="H68" s="341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0"/>
      <c r="AL68" s="290"/>
      <c r="AM68" s="290"/>
      <c r="AN68" s="290"/>
      <c r="AO68" s="290"/>
      <c r="AP68" s="290"/>
      <c r="AQ68" s="290"/>
      <c r="AR68" s="290"/>
      <c r="AS68" s="290"/>
      <c r="AT68" s="290"/>
      <c r="AU68" s="290"/>
      <c r="AV68" s="290"/>
      <c r="AW68" s="290"/>
      <c r="AX68" s="290"/>
      <c r="AY68" s="290"/>
      <c r="AZ68" s="290"/>
    </row>
    <row r="69" spans="1:52">
      <c r="H69" s="316"/>
      <c r="K69" s="290"/>
      <c r="L69" s="290"/>
      <c r="M69" s="290"/>
      <c r="N69" s="290"/>
      <c r="O69" s="290"/>
      <c r="P69" s="290"/>
      <c r="Q69" s="290"/>
      <c r="R69" s="290"/>
      <c r="S69" s="290"/>
      <c r="T69" s="290"/>
      <c r="U69" s="290"/>
      <c r="V69" s="290"/>
      <c r="W69" s="290"/>
      <c r="X69" s="290"/>
      <c r="Y69" s="290"/>
      <c r="Z69" s="290"/>
      <c r="AA69" s="290"/>
      <c r="AB69" s="290"/>
      <c r="AC69" s="290"/>
      <c r="AD69" s="290"/>
      <c r="AE69" s="290"/>
      <c r="AF69" s="290"/>
      <c r="AG69" s="290"/>
      <c r="AH69" s="290"/>
      <c r="AI69" s="290"/>
      <c r="AJ69" s="290"/>
      <c r="AK69" s="290"/>
      <c r="AL69" s="290"/>
      <c r="AM69" s="290"/>
      <c r="AN69" s="290"/>
      <c r="AO69" s="290"/>
      <c r="AP69" s="290"/>
      <c r="AQ69" s="290"/>
      <c r="AR69" s="290"/>
      <c r="AS69" s="290"/>
      <c r="AT69" s="290"/>
      <c r="AU69" s="290"/>
      <c r="AV69" s="290"/>
      <c r="AW69" s="290"/>
      <c r="AX69" s="290"/>
      <c r="AY69" s="290"/>
      <c r="AZ69" s="290"/>
    </row>
    <row r="70" spans="1:52">
      <c r="A70" s="339" t="s">
        <v>163</v>
      </c>
      <c r="B70" s="339"/>
      <c r="C70" s="340" t="s">
        <v>164</v>
      </c>
      <c r="D70" s="340"/>
      <c r="E70" s="340"/>
      <c r="F70" s="340"/>
      <c r="G70" s="340"/>
      <c r="H70" s="340"/>
      <c r="K70" s="290"/>
      <c r="L70" s="290"/>
      <c r="M70" s="290"/>
      <c r="N70" s="290"/>
      <c r="O70" s="290"/>
      <c r="P70" s="290"/>
      <c r="Q70" s="290"/>
      <c r="R70" s="290"/>
      <c r="S70" s="290"/>
      <c r="T70" s="290"/>
      <c r="U70" s="290"/>
      <c r="V70" s="290"/>
      <c r="W70" s="290"/>
      <c r="X70" s="290"/>
      <c r="Y70" s="290"/>
      <c r="Z70" s="290"/>
      <c r="AA70" s="290"/>
      <c r="AB70" s="290"/>
      <c r="AC70" s="290"/>
      <c r="AD70" s="290"/>
      <c r="AE70" s="290"/>
      <c r="AF70" s="290"/>
      <c r="AG70" s="290"/>
      <c r="AH70" s="290"/>
      <c r="AI70" s="290"/>
      <c r="AJ70" s="290"/>
      <c r="AK70" s="290"/>
      <c r="AL70" s="290"/>
      <c r="AM70" s="290"/>
      <c r="AN70" s="290"/>
      <c r="AO70" s="290"/>
      <c r="AP70" s="290"/>
      <c r="AQ70" s="290"/>
      <c r="AR70" s="290"/>
      <c r="AS70" s="290"/>
      <c r="AT70" s="290"/>
      <c r="AU70" s="290"/>
      <c r="AV70" s="290"/>
      <c r="AW70" s="290"/>
      <c r="AX70" s="290"/>
      <c r="AY70" s="290"/>
      <c r="AZ70" s="290"/>
    </row>
    <row r="71" spans="1:52" ht="14.25" customHeight="1">
      <c r="C71" s="341" t="s">
        <v>165</v>
      </c>
      <c r="D71" s="341"/>
      <c r="E71" s="341"/>
      <c r="F71" s="341"/>
      <c r="G71" s="341"/>
      <c r="H71" s="341"/>
      <c r="I71" s="316" t="s">
        <v>168</v>
      </c>
    </row>
  </sheetData>
  <dataConsolidate/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77" right="0.39370078740157477" top="0.78740157480314954" bottom="0.39370078740157477" header="0.78740157480314954" footer="0.39370078740157477"/>
  <pageSetup paperSize="9" scale="94" fitToHeight="0" orientation="landscape" r:id="rId1"/>
  <headerFooter alignWithMargins="0"/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71"/>
  <sheetViews>
    <sheetView showZeros="0" view="pageBreakPreview" topLeftCell="A51" zoomScale="115" zoomScaleNormal="100" zoomScaleSheetLayoutView="115" workbookViewId="0">
      <selection activeCell="H62" sqref="H62"/>
    </sheetView>
  </sheetViews>
  <sheetFormatPr defaultRowHeight="10.5"/>
  <cols>
    <col min="1" max="1" width="6" style="328" customWidth="1"/>
    <col min="2" max="2" width="22.140625" style="328" customWidth="1"/>
    <col min="3" max="3" width="65.28515625" style="328" customWidth="1"/>
    <col min="4" max="8" width="10.85546875" style="328" customWidth="1"/>
    <col min="9" max="10" width="9.140625" style="328"/>
    <col min="11" max="11" width="17.5703125" style="328" customWidth="1"/>
    <col min="12" max="12" width="11.85546875" style="328" bestFit="1" customWidth="1"/>
    <col min="13" max="13" width="9.5703125" style="328" bestFit="1" customWidth="1"/>
    <col min="14" max="14" width="11.7109375" style="328" bestFit="1" customWidth="1"/>
    <col min="15" max="15" width="9.5703125" style="328" bestFit="1" customWidth="1"/>
    <col min="16" max="16" width="11.7109375" style="328" bestFit="1" customWidth="1"/>
    <col min="17" max="17" width="9.140625" style="328"/>
    <col min="18" max="18" width="18.7109375" style="328" customWidth="1"/>
    <col min="19" max="26" width="9.140625" style="328"/>
    <col min="27" max="27" width="13.140625" style="328" customWidth="1"/>
    <col min="28" max="35" width="9.140625" style="328"/>
    <col min="36" max="36" width="16.85546875" style="328" customWidth="1"/>
    <col min="37" max="44" width="9.140625" style="328"/>
    <col min="45" max="45" width="15.28515625" style="328" customWidth="1"/>
    <col min="46" max="16384" width="9.140625" style="328"/>
  </cols>
  <sheetData>
    <row r="1" spans="1:52">
      <c r="A1" s="288" t="s">
        <v>99</v>
      </c>
      <c r="C1" s="288" t="s">
        <v>100</v>
      </c>
      <c r="H1" s="289" t="s">
        <v>101</v>
      </c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  <c r="AM1" s="290"/>
      <c r="AN1" s="290"/>
      <c r="AO1" s="290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0"/>
    </row>
    <row r="2" spans="1:52" ht="3" customHeight="1"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0"/>
    </row>
    <row r="3" spans="1:52" ht="11.25" customHeight="1">
      <c r="A3" s="349" t="s">
        <v>102</v>
      </c>
      <c r="B3" s="349"/>
      <c r="C3" s="349"/>
      <c r="D3" s="349"/>
      <c r="E3" s="349"/>
      <c r="F3" s="349"/>
      <c r="G3" s="349"/>
      <c r="H3" s="349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0"/>
    </row>
    <row r="4" spans="1:52" ht="11.25" customHeight="1">
      <c r="A4" s="329" t="s">
        <v>103</v>
      </c>
      <c r="B4" s="291"/>
      <c r="C4" s="291"/>
      <c r="D4" s="291"/>
      <c r="E4" s="291"/>
      <c r="F4" s="291"/>
      <c r="G4" s="291"/>
      <c r="H4" s="291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</row>
    <row r="5" spans="1:52" ht="6.75" customHeight="1">
      <c r="B5" s="292"/>
      <c r="C5" s="292"/>
      <c r="D5" s="292"/>
      <c r="E5" s="292"/>
      <c r="F5" s="292"/>
      <c r="G5" s="292"/>
      <c r="H5" s="292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</row>
    <row r="6" spans="1:52" ht="3" customHeight="1"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</row>
    <row r="7" spans="1:52">
      <c r="A7" s="329" t="s">
        <v>104</v>
      </c>
      <c r="B7" s="293"/>
      <c r="C7" s="293" t="s">
        <v>105</v>
      </c>
      <c r="D7" s="293"/>
      <c r="E7" s="293"/>
      <c r="F7" s="293"/>
      <c r="G7" s="293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</row>
    <row r="8" spans="1:52">
      <c r="A8" s="293" t="s">
        <v>106</v>
      </c>
      <c r="B8" s="293"/>
      <c r="C8" s="294"/>
      <c r="D8" s="295"/>
      <c r="E8" s="295"/>
      <c r="F8" s="296">
        <v>1299.0315105052427</v>
      </c>
      <c r="G8" s="297" t="s">
        <v>90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</row>
    <row r="9" spans="1:52">
      <c r="A9" s="293" t="s">
        <v>107</v>
      </c>
      <c r="B9" s="293"/>
      <c r="C9" s="298"/>
      <c r="D9" s="298"/>
      <c r="E9" s="298"/>
      <c r="F9" s="298"/>
      <c r="G9" s="297" t="s">
        <v>90</v>
      </c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</row>
    <row r="10" spans="1:52" ht="11.25" hidden="1" customHeight="1">
      <c r="C10" s="292"/>
      <c r="D10" s="292"/>
      <c r="E10" s="292"/>
      <c r="F10" s="292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  <c r="AM10" s="290"/>
      <c r="AN10" s="290"/>
      <c r="AO10" s="290"/>
      <c r="AP10" s="290"/>
      <c r="AQ10" s="290"/>
      <c r="AR10" s="290"/>
      <c r="AS10" s="290"/>
      <c r="AT10" s="290"/>
      <c r="AU10" s="290"/>
      <c r="AV10" s="290"/>
      <c r="AW10" s="290"/>
      <c r="AX10" s="290"/>
      <c r="AY10" s="290"/>
      <c r="AZ10" s="290"/>
    </row>
    <row r="11" spans="1:52" ht="12" customHeight="1">
      <c r="A11" s="350"/>
      <c r="B11" s="350"/>
      <c r="C11" s="350"/>
      <c r="D11" s="350"/>
      <c r="E11" s="350"/>
      <c r="F11" s="350"/>
      <c r="G11" s="350"/>
      <c r="H11" s="35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  <c r="AW11" s="290"/>
      <c r="AX11" s="290"/>
      <c r="AY11" s="290"/>
      <c r="AZ11" s="290"/>
    </row>
    <row r="12" spans="1:52" ht="10.5" customHeight="1">
      <c r="A12" s="351" t="s">
        <v>91</v>
      </c>
      <c r="B12" s="351"/>
      <c r="C12" s="351"/>
      <c r="D12" s="351"/>
      <c r="E12" s="351"/>
      <c r="F12" s="351"/>
      <c r="G12" s="351"/>
      <c r="H12" s="351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</row>
    <row r="13" spans="1:52" ht="10.5" customHeight="1">
      <c r="A13" s="352" t="s">
        <v>105</v>
      </c>
      <c r="B13" s="352"/>
      <c r="C13" s="352"/>
      <c r="D13" s="352"/>
      <c r="E13" s="352"/>
      <c r="F13" s="352"/>
      <c r="G13" s="352"/>
      <c r="H13" s="352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0"/>
      <c r="AS13" s="290"/>
      <c r="AT13" s="290"/>
      <c r="AU13" s="290"/>
      <c r="AV13" s="290"/>
      <c r="AW13" s="290"/>
      <c r="AX13" s="290"/>
      <c r="AY13" s="290"/>
      <c r="AZ13" s="290"/>
    </row>
    <row r="14" spans="1:52" ht="10.5" customHeight="1"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0"/>
      <c r="AS14" s="290"/>
      <c r="AT14" s="290"/>
      <c r="AU14" s="290"/>
      <c r="AV14" s="290"/>
      <c r="AW14" s="290"/>
      <c r="AX14" s="290"/>
      <c r="AY14" s="290"/>
      <c r="AZ14" s="290"/>
    </row>
    <row r="15" spans="1:52" ht="10.5" customHeight="1">
      <c r="A15" s="353" t="s">
        <v>92</v>
      </c>
      <c r="B15" s="353"/>
      <c r="C15" s="353"/>
      <c r="D15" s="353"/>
      <c r="E15" s="353"/>
      <c r="F15" s="353"/>
      <c r="G15" s="353"/>
      <c r="H15" s="353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  <c r="AS15" s="290"/>
      <c r="AT15" s="290"/>
      <c r="AU15" s="290"/>
      <c r="AV15" s="290"/>
      <c r="AW15" s="290"/>
      <c r="AX15" s="290"/>
      <c r="AY15" s="290"/>
      <c r="AZ15" s="290"/>
    </row>
    <row r="16" spans="1:52" ht="27.75" customHeight="1">
      <c r="A16" s="348" t="s">
        <v>182</v>
      </c>
      <c r="B16" s="354"/>
      <c r="C16" s="354"/>
      <c r="D16" s="354"/>
      <c r="E16" s="354"/>
      <c r="F16" s="354"/>
      <c r="G16" s="354"/>
      <c r="H16" s="354"/>
      <c r="J16" s="317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</row>
    <row r="17" spans="1:52">
      <c r="A17" s="292"/>
      <c r="B17" s="292"/>
      <c r="C17" s="292"/>
      <c r="D17" s="292"/>
      <c r="E17" s="292"/>
      <c r="F17" s="292"/>
      <c r="G17" s="292"/>
      <c r="H17" s="292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  <c r="AM17" s="290"/>
      <c r="AN17" s="290"/>
      <c r="AO17" s="290"/>
      <c r="AP17" s="290"/>
      <c r="AQ17" s="290"/>
      <c r="AR17" s="290"/>
      <c r="AS17" s="290"/>
      <c r="AT17" s="290"/>
      <c r="AU17" s="290"/>
      <c r="AV17" s="290"/>
      <c r="AW17" s="290"/>
      <c r="AX17" s="290"/>
      <c r="AY17" s="290"/>
      <c r="AZ17" s="290"/>
    </row>
    <row r="18" spans="1:52">
      <c r="A18" s="340" t="s">
        <v>108</v>
      </c>
      <c r="B18" s="340"/>
      <c r="C18" s="340"/>
      <c r="D18" s="340"/>
      <c r="E18" s="340"/>
      <c r="F18" s="340"/>
      <c r="G18" s="340"/>
      <c r="H18" s="34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</row>
    <row r="19" spans="1:52" ht="4.9000000000000004" customHeight="1"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  <c r="AM19" s="290"/>
      <c r="AN19" s="290"/>
      <c r="AO19" s="290"/>
      <c r="AP19" s="290"/>
      <c r="AQ19" s="290"/>
      <c r="AR19" s="290"/>
      <c r="AS19" s="290"/>
      <c r="AT19" s="290"/>
      <c r="AU19" s="290"/>
      <c r="AV19" s="290"/>
      <c r="AW19" s="290"/>
      <c r="AX19" s="290"/>
      <c r="AY19" s="290"/>
      <c r="AZ19" s="290"/>
    </row>
    <row r="20" spans="1:52" ht="5.0999999999999996" customHeight="1"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90"/>
      <c r="AP20" s="290"/>
      <c r="AQ20" s="290"/>
      <c r="AR20" s="290"/>
      <c r="AS20" s="290"/>
      <c r="AT20" s="290"/>
      <c r="AU20" s="290"/>
      <c r="AV20" s="290"/>
      <c r="AW20" s="290"/>
      <c r="AX20" s="290"/>
      <c r="AY20" s="290"/>
      <c r="AZ20" s="290"/>
    </row>
    <row r="21" spans="1:52" ht="11.1" customHeight="1">
      <c r="A21" s="343" t="s">
        <v>109</v>
      </c>
      <c r="B21" s="343" t="s">
        <v>110</v>
      </c>
      <c r="C21" s="343" t="s">
        <v>52</v>
      </c>
      <c r="D21" s="345" t="s">
        <v>111</v>
      </c>
      <c r="E21" s="346"/>
      <c r="F21" s="346"/>
      <c r="G21" s="347"/>
      <c r="H21" s="343" t="s">
        <v>112</v>
      </c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  <c r="AW21" s="290"/>
      <c r="AX21" s="290"/>
      <c r="AY21" s="290"/>
      <c r="AZ21" s="290"/>
    </row>
    <row r="22" spans="1:52" ht="54.95" customHeight="1" thickBot="1">
      <c r="A22" s="344"/>
      <c r="B22" s="344"/>
      <c r="C22" s="344"/>
      <c r="D22" s="299" t="s">
        <v>5</v>
      </c>
      <c r="E22" s="299" t="s">
        <v>6</v>
      </c>
      <c r="F22" s="299" t="s">
        <v>113</v>
      </c>
      <c r="G22" s="299" t="s">
        <v>8</v>
      </c>
      <c r="H22" s="344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</row>
    <row r="23" spans="1:52" ht="11.25" thickTop="1">
      <c r="A23" s="300">
        <v>1</v>
      </c>
      <c r="B23" s="300">
        <v>2</v>
      </c>
      <c r="C23" s="300">
        <v>3</v>
      </c>
      <c r="D23" s="300">
        <v>4</v>
      </c>
      <c r="E23" s="300">
        <v>5</v>
      </c>
      <c r="F23" s="300">
        <v>6</v>
      </c>
      <c r="G23" s="300">
        <v>7</v>
      </c>
      <c r="H23" s="300">
        <v>8</v>
      </c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90"/>
      <c r="AP23" s="290"/>
      <c r="AQ23" s="290"/>
      <c r="AR23" s="290"/>
      <c r="AS23" s="290"/>
      <c r="AT23" s="290"/>
      <c r="AU23" s="290"/>
      <c r="AV23" s="290"/>
      <c r="AW23" s="290"/>
      <c r="AX23" s="290"/>
      <c r="AY23" s="290"/>
      <c r="AZ23" s="290"/>
    </row>
    <row r="24" spans="1:52">
      <c r="A24" s="301"/>
      <c r="B24" s="301"/>
      <c r="C24" s="301"/>
      <c r="D24" s="301"/>
      <c r="E24" s="301"/>
      <c r="F24" s="301"/>
      <c r="G24" s="301"/>
      <c r="H24" s="301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0"/>
      <c r="AB24" s="290"/>
      <c r="AC24" s="290"/>
      <c r="AD24" s="290"/>
      <c r="AE24" s="290"/>
      <c r="AF24" s="290"/>
      <c r="AG24" s="290"/>
      <c r="AH24" s="290"/>
      <c r="AI24" s="290"/>
      <c r="AJ24" s="290"/>
      <c r="AK24" s="290"/>
      <c r="AL24" s="290"/>
      <c r="AM24" s="290"/>
      <c r="AN24" s="290"/>
      <c r="AO24" s="290"/>
      <c r="AP24" s="290"/>
      <c r="AQ24" s="290"/>
      <c r="AR24" s="290"/>
      <c r="AS24" s="290"/>
      <c r="AT24" s="290"/>
      <c r="AU24" s="290"/>
      <c r="AV24" s="290"/>
      <c r="AW24" s="290"/>
      <c r="AX24" s="290"/>
      <c r="AY24" s="290"/>
      <c r="AZ24" s="290"/>
    </row>
    <row r="25" spans="1:52" ht="10.5" hidden="1" customHeight="1">
      <c r="A25" s="301"/>
      <c r="B25" s="302" t="s">
        <v>114</v>
      </c>
      <c r="C25" s="302" t="s">
        <v>115</v>
      </c>
      <c r="D25" s="303"/>
      <c r="E25" s="303"/>
      <c r="F25" s="303"/>
      <c r="G25" s="303"/>
      <c r="H25" s="303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  <c r="AW25" s="290"/>
      <c r="AX25" s="290"/>
      <c r="AY25" s="290"/>
      <c r="AZ25" s="290"/>
    </row>
    <row r="26" spans="1:52" ht="25.5" hidden="1" customHeight="1">
      <c r="A26" s="301"/>
      <c r="B26" s="302" t="s">
        <v>116</v>
      </c>
      <c r="C26" s="302" t="s">
        <v>117</v>
      </c>
      <c r="D26" s="304"/>
      <c r="E26" s="304"/>
      <c r="F26" s="304"/>
      <c r="G26" s="305">
        <v>0</v>
      </c>
      <c r="H26" s="304">
        <v>0</v>
      </c>
      <c r="I26" s="328">
        <v>3.99</v>
      </c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0"/>
      <c r="AQ26" s="290"/>
      <c r="AR26" s="290"/>
      <c r="AS26" s="290"/>
      <c r="AT26" s="290"/>
      <c r="AU26" s="290"/>
      <c r="AV26" s="290"/>
      <c r="AW26" s="290"/>
      <c r="AX26" s="290"/>
      <c r="AY26" s="290"/>
      <c r="AZ26" s="290"/>
    </row>
    <row r="27" spans="1:52" ht="10.5" hidden="1" customHeight="1">
      <c r="A27" s="301"/>
      <c r="B27" s="302" t="s">
        <v>118</v>
      </c>
      <c r="C27" s="302" t="s">
        <v>119</v>
      </c>
      <c r="D27" s="304"/>
      <c r="E27" s="304"/>
      <c r="F27" s="304"/>
      <c r="G27" s="305">
        <v>0</v>
      </c>
      <c r="H27" s="304">
        <v>0</v>
      </c>
      <c r="I27" s="328">
        <v>3.99</v>
      </c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0"/>
      <c r="AS27" s="290"/>
      <c r="AT27" s="290"/>
      <c r="AU27" s="290"/>
      <c r="AV27" s="290"/>
      <c r="AW27" s="290"/>
      <c r="AX27" s="290"/>
      <c r="AY27" s="290"/>
      <c r="AZ27" s="290"/>
    </row>
    <row r="28" spans="1:52" ht="10.5" hidden="1" customHeight="1">
      <c r="A28" s="301"/>
      <c r="B28" s="302"/>
      <c r="C28" s="302" t="s">
        <v>120</v>
      </c>
      <c r="D28" s="304"/>
      <c r="E28" s="304"/>
      <c r="F28" s="304"/>
      <c r="G28" s="304">
        <v>0</v>
      </c>
      <c r="H28" s="304">
        <v>0</v>
      </c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0"/>
      <c r="AQ28" s="290"/>
      <c r="AR28" s="290"/>
      <c r="AS28" s="290"/>
      <c r="AT28" s="290"/>
      <c r="AU28" s="290"/>
      <c r="AV28" s="290"/>
      <c r="AW28" s="290"/>
      <c r="AX28" s="290"/>
      <c r="AY28" s="290"/>
      <c r="AZ28" s="290"/>
    </row>
    <row r="29" spans="1:52" ht="10.5" hidden="1" customHeight="1">
      <c r="D29" s="304"/>
      <c r="E29" s="304"/>
      <c r="F29" s="304"/>
      <c r="G29" s="304"/>
      <c r="H29" s="304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290"/>
      <c r="AQ29" s="290"/>
      <c r="AR29" s="290"/>
      <c r="AS29" s="290"/>
      <c r="AT29" s="290"/>
      <c r="AU29" s="290"/>
      <c r="AV29" s="290"/>
      <c r="AW29" s="290"/>
      <c r="AX29" s="290"/>
      <c r="AY29" s="290"/>
      <c r="AZ29" s="290"/>
    </row>
    <row r="30" spans="1:52">
      <c r="B30" s="306" t="s">
        <v>121</v>
      </c>
      <c r="C30" s="306" t="s">
        <v>122</v>
      </c>
      <c r="D30" s="304"/>
      <c r="E30" s="304"/>
      <c r="F30" s="304"/>
      <c r="G30" s="304"/>
      <c r="H30" s="304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  <c r="AQ30" s="290"/>
      <c r="AR30" s="290"/>
      <c r="AS30" s="290"/>
      <c r="AT30" s="290"/>
      <c r="AU30" s="290"/>
      <c r="AV30" s="290"/>
      <c r="AW30" s="290"/>
      <c r="AX30" s="290"/>
      <c r="AY30" s="290"/>
      <c r="AZ30" s="290"/>
    </row>
    <row r="31" spans="1:52">
      <c r="A31" s="307">
        <v>1</v>
      </c>
      <c r="B31" s="308">
        <v>1</v>
      </c>
      <c r="C31" s="318" t="s">
        <v>183</v>
      </c>
      <c r="D31" s="310">
        <v>82.604827586206895</v>
      </c>
      <c r="E31" s="310">
        <v>176.00496551724137</v>
      </c>
      <c r="F31" s="310">
        <v>827.10280373831768</v>
      </c>
      <c r="G31" s="310">
        <v>0</v>
      </c>
      <c r="H31" s="304">
        <v>1085.7125968417658</v>
      </c>
      <c r="I31" s="328">
        <v>2</v>
      </c>
      <c r="J31" s="328">
        <v>3.52</v>
      </c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  <c r="AQ31" s="290"/>
      <c r="AR31" s="290"/>
      <c r="AS31" s="290"/>
      <c r="AT31" s="290"/>
      <c r="AU31" s="290"/>
      <c r="AV31" s="290"/>
      <c r="AW31" s="290"/>
      <c r="AX31" s="290"/>
      <c r="AY31" s="290"/>
      <c r="AZ31" s="290"/>
    </row>
    <row r="32" spans="1:52">
      <c r="A32" s="307">
        <v>2</v>
      </c>
      <c r="B32" s="308">
        <v>2</v>
      </c>
      <c r="C32" s="318" t="s">
        <v>184</v>
      </c>
      <c r="D32" s="310">
        <v>0</v>
      </c>
      <c r="E32" s="310">
        <v>9.3060689655172411</v>
      </c>
      <c r="F32" s="310">
        <v>9.0151869158878508</v>
      </c>
      <c r="G32" s="310">
        <v>0</v>
      </c>
      <c r="H32" s="304">
        <v>18.321255881405094</v>
      </c>
      <c r="I32" s="328">
        <v>2</v>
      </c>
      <c r="J32" s="328">
        <v>3.52</v>
      </c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N32" s="290"/>
      <c r="AO32" s="290"/>
      <c r="AP32" s="290"/>
      <c r="AQ32" s="290"/>
      <c r="AR32" s="290"/>
      <c r="AS32" s="290"/>
      <c r="AT32" s="290"/>
      <c r="AU32" s="290"/>
      <c r="AV32" s="290"/>
      <c r="AW32" s="290"/>
      <c r="AX32" s="290"/>
      <c r="AY32" s="290"/>
      <c r="AZ32" s="290"/>
    </row>
    <row r="33" spans="1:52">
      <c r="A33" s="307">
        <v>0</v>
      </c>
      <c r="B33" s="308">
        <v>0</v>
      </c>
      <c r="C33" s="318">
        <v>0</v>
      </c>
      <c r="D33" s="310">
        <v>0</v>
      </c>
      <c r="E33" s="310">
        <v>0</v>
      </c>
      <c r="F33" s="310">
        <v>0</v>
      </c>
      <c r="G33" s="310">
        <v>0</v>
      </c>
      <c r="H33" s="304">
        <v>0</v>
      </c>
      <c r="I33" s="328">
        <v>2</v>
      </c>
      <c r="J33" s="328">
        <v>3.19</v>
      </c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  <c r="AS33" s="290"/>
      <c r="AT33" s="290"/>
      <c r="AU33" s="290"/>
      <c r="AV33" s="290"/>
      <c r="AW33" s="290"/>
      <c r="AX33" s="290"/>
      <c r="AY33" s="290"/>
      <c r="AZ33" s="290"/>
    </row>
    <row r="34" spans="1:52">
      <c r="A34" s="307">
        <v>0</v>
      </c>
      <c r="B34" s="308">
        <v>0</v>
      </c>
      <c r="C34" s="318">
        <v>0</v>
      </c>
      <c r="D34" s="310">
        <v>0</v>
      </c>
      <c r="E34" s="310">
        <v>0</v>
      </c>
      <c r="F34" s="310">
        <v>0</v>
      </c>
      <c r="G34" s="310">
        <v>0</v>
      </c>
      <c r="H34" s="304">
        <v>0</v>
      </c>
      <c r="I34" s="328">
        <v>2</v>
      </c>
      <c r="J34" s="328">
        <v>3.19</v>
      </c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N34" s="290"/>
      <c r="AO34" s="290"/>
      <c r="AP34" s="290"/>
      <c r="AQ34" s="290"/>
      <c r="AR34" s="290"/>
      <c r="AS34" s="290"/>
      <c r="AT34" s="290"/>
      <c r="AU34" s="290"/>
      <c r="AV34" s="290"/>
      <c r="AW34" s="290"/>
      <c r="AX34" s="290"/>
      <c r="AY34" s="290"/>
      <c r="AZ34" s="290"/>
    </row>
    <row r="35" spans="1:52">
      <c r="B35" s="306"/>
      <c r="C35" s="306" t="s">
        <v>123</v>
      </c>
      <c r="D35" s="304">
        <v>82.604827586206895</v>
      </c>
      <c r="E35" s="304">
        <v>185.3110344827586</v>
      </c>
      <c r="F35" s="304">
        <v>836.11799065420553</v>
      </c>
      <c r="G35" s="304">
        <v>0</v>
      </c>
      <c r="H35" s="304">
        <v>1104.0338527231709</v>
      </c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0"/>
      <c r="AO35" s="290"/>
      <c r="AP35" s="290"/>
      <c r="AQ35" s="290"/>
      <c r="AR35" s="290"/>
      <c r="AS35" s="290"/>
      <c r="AT35" s="290"/>
      <c r="AU35" s="290"/>
      <c r="AV35" s="290"/>
      <c r="AW35" s="290"/>
      <c r="AX35" s="290"/>
      <c r="AY35" s="290"/>
      <c r="AZ35" s="290"/>
    </row>
    <row r="36" spans="1:52">
      <c r="B36" s="306"/>
      <c r="C36" s="306" t="s">
        <v>124</v>
      </c>
      <c r="D36" s="304">
        <v>82.604827586206895</v>
      </c>
      <c r="E36" s="304">
        <v>185.3110344827586</v>
      </c>
      <c r="F36" s="304">
        <v>836.11799065420553</v>
      </c>
      <c r="G36" s="304">
        <v>0</v>
      </c>
      <c r="H36" s="304">
        <v>1104.0338527231711</v>
      </c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0"/>
      <c r="AR36" s="290"/>
      <c r="AS36" s="290"/>
      <c r="AT36" s="290"/>
      <c r="AU36" s="290"/>
      <c r="AV36" s="290"/>
      <c r="AW36" s="290"/>
      <c r="AX36" s="290"/>
      <c r="AY36" s="290"/>
      <c r="AZ36" s="290"/>
    </row>
    <row r="37" spans="1:52">
      <c r="D37" s="309"/>
      <c r="E37" s="309"/>
      <c r="F37" s="309"/>
      <c r="G37" s="309"/>
      <c r="H37" s="309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0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</row>
    <row r="38" spans="1:52">
      <c r="B38" s="306" t="s">
        <v>125</v>
      </c>
      <c r="C38" s="306" t="s">
        <v>126</v>
      </c>
      <c r="D38" s="309"/>
      <c r="E38" s="309"/>
      <c r="F38" s="309"/>
      <c r="G38" s="309"/>
      <c r="H38" s="309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0"/>
      <c r="AQ38" s="290"/>
      <c r="AR38" s="290"/>
      <c r="AS38" s="290"/>
      <c r="AT38" s="290"/>
      <c r="AU38" s="290"/>
      <c r="AV38" s="290"/>
      <c r="AW38" s="290"/>
      <c r="AX38" s="290"/>
      <c r="AY38" s="290"/>
      <c r="AZ38" s="290"/>
    </row>
    <row r="39" spans="1:52" ht="21">
      <c r="B39" s="306" t="s">
        <v>57</v>
      </c>
      <c r="C39" s="306" t="s">
        <v>127</v>
      </c>
      <c r="D39" s="304">
        <v>1.6520965517241379</v>
      </c>
      <c r="E39" s="304">
        <v>3.7062206896551722</v>
      </c>
      <c r="F39" s="304"/>
      <c r="G39" s="304"/>
      <c r="H39" s="304">
        <v>5.3583172413793099</v>
      </c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0"/>
      <c r="AQ39" s="290"/>
      <c r="AR39" s="290"/>
      <c r="AS39" s="290"/>
      <c r="AT39" s="290"/>
      <c r="AU39" s="290"/>
      <c r="AV39" s="290"/>
      <c r="AW39" s="290"/>
      <c r="AX39" s="290"/>
      <c r="AY39" s="290"/>
      <c r="AZ39" s="290"/>
    </row>
    <row r="40" spans="1:52">
      <c r="B40" s="306"/>
      <c r="C40" s="306" t="s">
        <v>128</v>
      </c>
      <c r="D40" s="304">
        <v>1.6520965517241379</v>
      </c>
      <c r="E40" s="304">
        <v>3.7062206896551722</v>
      </c>
      <c r="F40" s="304"/>
      <c r="G40" s="304"/>
      <c r="H40" s="304">
        <v>5.3583172413793099</v>
      </c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  <c r="AS40" s="290"/>
      <c r="AT40" s="290"/>
      <c r="AU40" s="290"/>
      <c r="AV40" s="290"/>
      <c r="AW40" s="290"/>
      <c r="AX40" s="290"/>
      <c r="AY40" s="290"/>
      <c r="AZ40" s="290"/>
    </row>
    <row r="41" spans="1:52">
      <c r="B41" s="306"/>
      <c r="C41" s="306" t="s">
        <v>129</v>
      </c>
      <c r="D41" s="304">
        <v>84.256924137931037</v>
      </c>
      <c r="E41" s="304">
        <v>189.01725517241377</v>
      </c>
      <c r="F41" s="304">
        <v>836.11799065420553</v>
      </c>
      <c r="G41" s="304">
        <v>0</v>
      </c>
      <c r="H41" s="304">
        <v>1109.3921699645502</v>
      </c>
      <c r="K41" s="290"/>
      <c r="L41" s="290"/>
      <c r="M41" s="290"/>
      <c r="N41" s="290"/>
      <c r="O41" s="290"/>
      <c r="P41" s="290"/>
      <c r="Q41" s="290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  <c r="AS41" s="290"/>
      <c r="AT41" s="290"/>
      <c r="AU41" s="290"/>
      <c r="AV41" s="290"/>
      <c r="AW41" s="290"/>
      <c r="AX41" s="290"/>
      <c r="AY41" s="290"/>
      <c r="AZ41" s="290"/>
    </row>
    <row r="42" spans="1:52">
      <c r="B42" s="306"/>
      <c r="C42" s="306" t="s">
        <v>130</v>
      </c>
      <c r="D42" s="304">
        <v>84.256924137931037</v>
      </c>
      <c r="E42" s="304">
        <v>189.01725517241377</v>
      </c>
      <c r="F42" s="304"/>
      <c r="G42" s="304"/>
      <c r="H42" s="304">
        <v>273.27417931034483</v>
      </c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290"/>
      <c r="AQ42" s="290"/>
      <c r="AR42" s="290"/>
      <c r="AS42" s="290"/>
      <c r="AT42" s="290"/>
      <c r="AU42" s="290"/>
      <c r="AV42" s="290"/>
      <c r="AW42" s="290"/>
      <c r="AX42" s="290"/>
      <c r="AY42" s="290"/>
      <c r="AZ42" s="290"/>
    </row>
    <row r="43" spans="1:52">
      <c r="D43" s="304"/>
      <c r="E43" s="304"/>
      <c r="F43" s="309"/>
      <c r="G43" s="309"/>
      <c r="H43" s="304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0"/>
      <c r="AE43" s="290"/>
      <c r="AF43" s="29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0"/>
      <c r="AQ43" s="290"/>
      <c r="AR43" s="290"/>
      <c r="AS43" s="290"/>
      <c r="AT43" s="290"/>
      <c r="AU43" s="290"/>
      <c r="AV43" s="290"/>
      <c r="AW43" s="290"/>
      <c r="AX43" s="290"/>
      <c r="AY43" s="290"/>
      <c r="AZ43" s="290"/>
    </row>
    <row r="44" spans="1:52">
      <c r="B44" s="306" t="s">
        <v>131</v>
      </c>
      <c r="C44" s="306" t="s">
        <v>132</v>
      </c>
      <c r="D44" s="304"/>
      <c r="E44" s="304"/>
      <c r="F44" s="309"/>
      <c r="G44" s="309"/>
      <c r="H44" s="304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S44" s="290"/>
      <c r="AT44" s="290"/>
      <c r="AU44" s="290"/>
      <c r="AV44" s="290"/>
      <c r="AW44" s="290"/>
      <c r="AX44" s="290"/>
      <c r="AY44" s="290"/>
      <c r="AZ44" s="290"/>
    </row>
    <row r="45" spans="1:52" ht="21">
      <c r="B45" s="306" t="s">
        <v>58</v>
      </c>
      <c r="C45" s="306" t="s">
        <v>133</v>
      </c>
      <c r="D45" s="319">
        <v>2.9658437296551727</v>
      </c>
      <c r="E45" s="319">
        <v>6.6534073820689654</v>
      </c>
      <c r="F45" s="320"/>
      <c r="G45" s="320"/>
      <c r="H45" s="320">
        <v>9.6192511117241377</v>
      </c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290"/>
      <c r="AQ45" s="290"/>
      <c r="AR45" s="290"/>
      <c r="AS45" s="290"/>
      <c r="AT45" s="290"/>
      <c r="AU45" s="290"/>
      <c r="AV45" s="290"/>
      <c r="AW45" s="290"/>
      <c r="AX45" s="290"/>
      <c r="AY45" s="290"/>
      <c r="AZ45" s="290"/>
    </row>
    <row r="46" spans="1:52" ht="63" customHeight="1">
      <c r="B46" s="306" t="s">
        <v>134</v>
      </c>
      <c r="C46" s="311" t="s">
        <v>185</v>
      </c>
      <c r="D46" s="320"/>
      <c r="E46" s="320"/>
      <c r="F46" s="320"/>
      <c r="G46" s="320">
        <v>8.7131176569997244</v>
      </c>
      <c r="H46" s="320">
        <v>8.7131176569997244</v>
      </c>
      <c r="I46" s="328">
        <v>3.08</v>
      </c>
      <c r="J46" s="321"/>
      <c r="K46" s="290"/>
      <c r="L46" s="290"/>
      <c r="M46" s="290"/>
      <c r="N46" s="290"/>
      <c r="O46" s="290"/>
      <c r="P46" s="290"/>
      <c r="Q46" s="290"/>
      <c r="R46" s="290"/>
      <c r="S46" s="290"/>
      <c r="T46" s="290"/>
      <c r="U46" s="290"/>
      <c r="V46" s="290"/>
      <c r="W46" s="290"/>
      <c r="X46" s="290"/>
      <c r="Y46" s="290"/>
      <c r="Z46" s="290"/>
      <c r="AA46" s="290"/>
      <c r="AB46" s="290"/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0"/>
      <c r="AR46" s="290"/>
      <c r="AS46" s="290"/>
      <c r="AT46" s="290"/>
      <c r="AU46" s="290"/>
      <c r="AV46" s="290"/>
      <c r="AW46" s="290"/>
      <c r="AX46" s="290"/>
      <c r="AY46" s="290"/>
      <c r="AZ46" s="290"/>
    </row>
    <row r="47" spans="1:52" ht="52.5" customHeight="1">
      <c r="B47" s="302" t="s">
        <v>135</v>
      </c>
      <c r="C47" s="306" t="s">
        <v>136</v>
      </c>
      <c r="D47" s="322"/>
      <c r="E47" s="322"/>
      <c r="F47" s="322"/>
      <c r="G47" s="323">
        <v>0</v>
      </c>
      <c r="H47" s="320">
        <v>0</v>
      </c>
      <c r="I47" s="324">
        <v>14.57</v>
      </c>
      <c r="J47" s="324" t="s">
        <v>137</v>
      </c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  <c r="AS47" s="290"/>
      <c r="AT47" s="290"/>
      <c r="AU47" s="290"/>
      <c r="AV47" s="290"/>
      <c r="AW47" s="290"/>
      <c r="AX47" s="290"/>
      <c r="AY47" s="290"/>
      <c r="AZ47" s="290"/>
    </row>
    <row r="48" spans="1:52">
      <c r="B48" s="306"/>
      <c r="C48" s="306" t="s">
        <v>138</v>
      </c>
      <c r="D48" s="320">
        <v>2.9658437296551727</v>
      </c>
      <c r="E48" s="320">
        <v>6.6534073820689654</v>
      </c>
      <c r="F48" s="320">
        <v>0</v>
      </c>
      <c r="G48" s="320">
        <v>8.7131176569997244</v>
      </c>
      <c r="H48" s="320">
        <v>18.33236876872386</v>
      </c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</row>
    <row r="49" spans="1:52">
      <c r="B49" s="306"/>
      <c r="C49" s="306" t="s">
        <v>139</v>
      </c>
      <c r="D49" s="320">
        <v>87.222767867586214</v>
      </c>
      <c r="E49" s="320">
        <v>195.67066255448273</v>
      </c>
      <c r="F49" s="320">
        <v>836.11799065420553</v>
      </c>
      <c r="G49" s="320">
        <v>8.7131176569997244</v>
      </c>
      <c r="H49" s="320">
        <v>1127.7245387332741</v>
      </c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  <c r="AW49" s="290"/>
      <c r="AX49" s="290"/>
      <c r="AY49" s="290"/>
      <c r="AZ49" s="290"/>
    </row>
    <row r="50" spans="1:52"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  <c r="AF50" s="290"/>
      <c r="AG50" s="290"/>
      <c r="AH50" s="290"/>
      <c r="AI50" s="290"/>
      <c r="AJ50" s="290"/>
      <c r="AK50" s="290"/>
      <c r="AL50" s="290"/>
      <c r="AM50" s="290"/>
      <c r="AN50" s="290"/>
      <c r="AO50" s="290"/>
      <c r="AP50" s="290"/>
      <c r="AQ50" s="290"/>
      <c r="AR50" s="290"/>
      <c r="AS50" s="290"/>
      <c r="AT50" s="290"/>
      <c r="AU50" s="290"/>
      <c r="AV50" s="290"/>
      <c r="AW50" s="290"/>
      <c r="AX50" s="290"/>
      <c r="AY50" s="290"/>
      <c r="AZ50" s="290"/>
    </row>
    <row r="51" spans="1:52">
      <c r="B51" s="306" t="s">
        <v>140</v>
      </c>
      <c r="C51" s="306" t="s">
        <v>141</v>
      </c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  <c r="AW51" s="290"/>
      <c r="AX51" s="290"/>
      <c r="AY51" s="290"/>
      <c r="AZ51" s="290"/>
    </row>
    <row r="52" spans="1:52" ht="42" customHeight="1">
      <c r="B52" s="306" t="s">
        <v>142</v>
      </c>
      <c r="C52" s="311" t="s">
        <v>143</v>
      </c>
      <c r="D52" s="304"/>
      <c r="E52" s="304"/>
      <c r="F52" s="304"/>
      <c r="G52" s="304">
        <v>24.133305128892065</v>
      </c>
      <c r="H52" s="304">
        <v>24.133305128892065</v>
      </c>
      <c r="I52" s="328">
        <v>2.14</v>
      </c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  <c r="AS52" s="290"/>
      <c r="AT52" s="290"/>
      <c r="AU52" s="290"/>
      <c r="AV52" s="290"/>
      <c r="AW52" s="290"/>
      <c r="AX52" s="290"/>
      <c r="AY52" s="290"/>
      <c r="AZ52" s="290"/>
    </row>
    <row r="53" spans="1:52" ht="42" customHeight="1">
      <c r="B53" s="306" t="s">
        <v>142</v>
      </c>
      <c r="C53" s="311" t="s">
        <v>144</v>
      </c>
      <c r="D53" s="304"/>
      <c r="E53" s="304"/>
      <c r="F53" s="304"/>
      <c r="G53" s="304">
        <v>24.358850036638724</v>
      </c>
      <c r="H53" s="304">
        <v>24.358850036638724</v>
      </c>
      <c r="I53" s="328">
        <v>2.16</v>
      </c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  <c r="AS53" s="290"/>
      <c r="AT53" s="290"/>
      <c r="AU53" s="290"/>
      <c r="AV53" s="290"/>
      <c r="AW53" s="290"/>
      <c r="AX53" s="290"/>
      <c r="AY53" s="290"/>
      <c r="AZ53" s="290"/>
    </row>
    <row r="54" spans="1:52">
      <c r="B54" s="306"/>
      <c r="C54" s="306" t="s">
        <v>145</v>
      </c>
      <c r="D54" s="304"/>
      <c r="E54" s="304"/>
      <c r="F54" s="304"/>
      <c r="G54" s="304">
        <v>48.492155165530789</v>
      </c>
      <c r="H54" s="304">
        <v>48.492155165530789</v>
      </c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0"/>
      <c r="AQ54" s="290"/>
      <c r="AR54" s="290"/>
      <c r="AS54" s="290"/>
      <c r="AT54" s="290"/>
      <c r="AU54" s="290"/>
      <c r="AV54" s="290"/>
      <c r="AW54" s="290"/>
      <c r="AX54" s="290"/>
      <c r="AY54" s="290"/>
      <c r="AZ54" s="290"/>
    </row>
    <row r="55" spans="1:52"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290"/>
      <c r="AL55" s="290"/>
      <c r="AM55" s="290"/>
      <c r="AN55" s="290"/>
      <c r="AO55" s="290"/>
      <c r="AP55" s="290"/>
      <c r="AQ55" s="290"/>
      <c r="AR55" s="290"/>
      <c r="AS55" s="290"/>
      <c r="AT55" s="290"/>
      <c r="AU55" s="290"/>
      <c r="AV55" s="290"/>
      <c r="AW55" s="290"/>
      <c r="AX55" s="290"/>
      <c r="AY55" s="290"/>
      <c r="AZ55" s="290"/>
    </row>
    <row r="56" spans="1:52" ht="11.25" thickBot="1">
      <c r="B56" s="306" t="s">
        <v>146</v>
      </c>
      <c r="C56" s="306" t="s">
        <v>147</v>
      </c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0"/>
      <c r="AS56" s="290"/>
      <c r="AT56" s="290"/>
      <c r="AU56" s="290"/>
      <c r="AV56" s="290"/>
      <c r="AW56" s="290"/>
      <c r="AX56" s="290"/>
      <c r="AY56" s="290"/>
      <c r="AZ56" s="290"/>
    </row>
    <row r="57" spans="1:52" ht="11.25" thickBot="1">
      <c r="B57" s="306" t="s">
        <v>148</v>
      </c>
      <c r="C57" s="306" t="s">
        <v>149</v>
      </c>
      <c r="D57" s="320"/>
      <c r="E57" s="320"/>
      <c r="F57" s="320"/>
      <c r="G57" s="323">
        <v>83.591345864661648</v>
      </c>
      <c r="H57" s="304">
        <v>83.591345864661648</v>
      </c>
      <c r="I57" s="328">
        <v>3.99</v>
      </c>
      <c r="J57" s="314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290"/>
      <c r="AU57" s="290"/>
      <c r="AV57" s="290"/>
      <c r="AW57" s="290"/>
      <c r="AX57" s="290"/>
      <c r="AY57" s="290"/>
      <c r="AZ57" s="290"/>
    </row>
    <row r="58" spans="1:52">
      <c r="B58" s="306"/>
      <c r="C58" s="306" t="s">
        <v>150</v>
      </c>
      <c r="D58" s="320"/>
      <c r="E58" s="320"/>
      <c r="F58" s="320"/>
      <c r="G58" s="323">
        <v>0</v>
      </c>
      <c r="H58" s="304">
        <v>0</v>
      </c>
      <c r="I58" s="328">
        <v>3.99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  <c r="AN58" s="290"/>
      <c r="AO58" s="290"/>
      <c r="AP58" s="290"/>
      <c r="AQ58" s="290"/>
      <c r="AR58" s="290"/>
      <c r="AS58" s="290"/>
      <c r="AT58" s="290"/>
      <c r="AU58" s="290"/>
      <c r="AV58" s="290"/>
      <c r="AW58" s="290"/>
      <c r="AX58" s="290"/>
      <c r="AY58" s="290"/>
      <c r="AZ58" s="290"/>
    </row>
    <row r="59" spans="1:52">
      <c r="B59" s="306"/>
      <c r="C59" s="306" t="s">
        <v>151</v>
      </c>
      <c r="D59" s="320"/>
      <c r="E59" s="320"/>
      <c r="F59" s="320"/>
      <c r="G59" s="304">
        <v>83.591345864661648</v>
      </c>
      <c r="H59" s="304">
        <v>83.591345864661648</v>
      </c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0"/>
      <c r="AQ59" s="290"/>
      <c r="AR59" s="290"/>
      <c r="AS59" s="290"/>
      <c r="AT59" s="290"/>
      <c r="AU59" s="290"/>
      <c r="AV59" s="290"/>
      <c r="AW59" s="290"/>
      <c r="AX59" s="290"/>
      <c r="AY59" s="290"/>
      <c r="AZ59" s="290"/>
    </row>
    <row r="60" spans="1:52">
      <c r="B60" s="306"/>
      <c r="C60" s="306" t="s">
        <v>152</v>
      </c>
      <c r="D60" s="320">
        <v>87.222767867586214</v>
      </c>
      <c r="E60" s="320">
        <v>195.67066255448273</v>
      </c>
      <c r="F60" s="320">
        <v>836.11799065420553</v>
      </c>
      <c r="G60" s="320">
        <v>140.79661868719216</v>
      </c>
      <c r="H60" s="320">
        <v>1259.8080397634667</v>
      </c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0"/>
      <c r="AS60" s="290"/>
      <c r="AT60" s="290"/>
      <c r="AU60" s="290"/>
      <c r="AV60" s="290"/>
      <c r="AW60" s="290"/>
      <c r="AX60" s="290"/>
      <c r="AY60" s="290"/>
      <c r="AZ60" s="290"/>
    </row>
    <row r="61" spans="1:52" ht="21" customHeight="1">
      <c r="B61" s="306" t="s">
        <v>153</v>
      </c>
      <c r="C61" s="306" t="s">
        <v>154</v>
      </c>
      <c r="D61" s="320">
        <v>2.6166830360275863</v>
      </c>
      <c r="E61" s="320">
        <v>5.8701198766344813</v>
      </c>
      <c r="F61" s="320">
        <v>25.083539719626163</v>
      </c>
      <c r="G61" s="320">
        <v>4.2238985606157646</v>
      </c>
      <c r="H61" s="320">
        <v>37.794241192903996</v>
      </c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90"/>
      <c r="AH61" s="290"/>
      <c r="AI61" s="290"/>
      <c r="AJ61" s="290"/>
      <c r="AK61" s="290"/>
      <c r="AL61" s="290"/>
      <c r="AM61" s="290"/>
      <c r="AN61" s="290"/>
      <c r="AO61" s="290"/>
      <c r="AP61" s="290"/>
      <c r="AQ61" s="290"/>
      <c r="AR61" s="290"/>
      <c r="AS61" s="290"/>
      <c r="AT61" s="290"/>
      <c r="AU61" s="290"/>
      <c r="AV61" s="290"/>
      <c r="AW61" s="290"/>
      <c r="AX61" s="290"/>
      <c r="AY61" s="290"/>
      <c r="AZ61" s="290"/>
    </row>
    <row r="62" spans="1:52">
      <c r="B62" s="306"/>
      <c r="C62" s="306" t="s">
        <v>155</v>
      </c>
      <c r="D62" s="320">
        <v>89.839450903613795</v>
      </c>
      <c r="E62" s="320">
        <v>201.54078243111721</v>
      </c>
      <c r="F62" s="320">
        <v>861.2015303738317</v>
      </c>
      <c r="G62" s="320">
        <v>145.02051724780793</v>
      </c>
      <c r="H62" s="320">
        <v>1297.6022809563706</v>
      </c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  <c r="AH62" s="290"/>
      <c r="AI62" s="290"/>
      <c r="AJ62" s="290"/>
      <c r="AK62" s="290"/>
      <c r="AL62" s="290"/>
      <c r="AM62" s="290"/>
      <c r="AN62" s="290"/>
      <c r="AO62" s="290"/>
      <c r="AP62" s="290"/>
      <c r="AQ62" s="290"/>
      <c r="AR62" s="290"/>
      <c r="AS62" s="290"/>
      <c r="AT62" s="290"/>
      <c r="AU62" s="290"/>
      <c r="AV62" s="290"/>
      <c r="AW62" s="290"/>
      <c r="AX62" s="290"/>
      <c r="AY62" s="290"/>
      <c r="AZ62" s="290"/>
    </row>
    <row r="63" spans="1:52"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90"/>
      <c r="AH63" s="290"/>
      <c r="AI63" s="290"/>
      <c r="AJ63" s="290"/>
      <c r="AK63" s="290"/>
      <c r="AL63" s="290"/>
      <c r="AM63" s="290"/>
      <c r="AN63" s="290"/>
      <c r="AO63" s="290"/>
      <c r="AP63" s="290"/>
      <c r="AQ63" s="290"/>
      <c r="AR63" s="290"/>
      <c r="AS63" s="290"/>
      <c r="AT63" s="290"/>
      <c r="AU63" s="290"/>
      <c r="AV63" s="290"/>
      <c r="AW63" s="290"/>
      <c r="AX63" s="290"/>
      <c r="AY63" s="290"/>
      <c r="AZ63" s="290"/>
    </row>
    <row r="64" spans="1:52">
      <c r="A64" s="342" t="s">
        <v>156</v>
      </c>
      <c r="B64" s="342"/>
      <c r="C64" s="340"/>
      <c r="D64" s="340"/>
      <c r="E64" s="340"/>
      <c r="F64" s="340"/>
      <c r="G64" s="340"/>
      <c r="H64" s="34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  <c r="AA64" s="290"/>
      <c r="AB64" s="290"/>
      <c r="AC64" s="290"/>
      <c r="AD64" s="290"/>
      <c r="AE64" s="290"/>
      <c r="AF64" s="290"/>
      <c r="AG64" s="290"/>
      <c r="AH64" s="290"/>
      <c r="AI64" s="290"/>
      <c r="AJ64" s="290"/>
      <c r="AK64" s="290"/>
      <c r="AL64" s="290"/>
      <c r="AM64" s="290"/>
      <c r="AN64" s="290"/>
      <c r="AO64" s="290"/>
      <c r="AP64" s="290"/>
      <c r="AQ64" s="290"/>
      <c r="AR64" s="290"/>
      <c r="AS64" s="290"/>
      <c r="AT64" s="290"/>
      <c r="AU64" s="290"/>
      <c r="AV64" s="290"/>
      <c r="AW64" s="290"/>
      <c r="AX64" s="290"/>
      <c r="AY64" s="290"/>
      <c r="AZ64" s="290"/>
    </row>
    <row r="65" spans="1:52">
      <c r="C65" s="341" t="s">
        <v>157</v>
      </c>
      <c r="D65" s="341"/>
      <c r="E65" s="341"/>
      <c r="F65" s="341"/>
      <c r="G65" s="341"/>
      <c r="H65" s="341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290"/>
      <c r="AC65" s="290"/>
      <c r="AD65" s="290"/>
      <c r="AE65" s="290"/>
      <c r="AF65" s="290"/>
      <c r="AG65" s="290"/>
      <c r="AH65" s="290"/>
      <c r="AI65" s="290"/>
      <c r="AJ65" s="290"/>
      <c r="AK65" s="290"/>
      <c r="AL65" s="290"/>
      <c r="AM65" s="290"/>
      <c r="AN65" s="290"/>
      <c r="AO65" s="290"/>
      <c r="AP65" s="290"/>
      <c r="AQ65" s="290"/>
      <c r="AR65" s="290"/>
      <c r="AS65" s="290"/>
      <c r="AT65" s="290"/>
      <c r="AU65" s="290"/>
      <c r="AV65" s="290"/>
      <c r="AW65" s="290"/>
      <c r="AX65" s="290"/>
      <c r="AY65" s="290"/>
      <c r="AZ65" s="290"/>
    </row>
    <row r="66" spans="1:52"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0"/>
      <c r="AA66" s="290"/>
      <c r="AB66" s="290"/>
      <c r="AC66" s="290"/>
      <c r="AD66" s="290"/>
      <c r="AE66" s="290"/>
      <c r="AF66" s="290"/>
      <c r="AG66" s="290"/>
      <c r="AH66" s="290"/>
      <c r="AI66" s="290"/>
      <c r="AJ66" s="290"/>
      <c r="AK66" s="290"/>
      <c r="AL66" s="290"/>
      <c r="AM66" s="290"/>
      <c r="AN66" s="290"/>
      <c r="AO66" s="290"/>
      <c r="AP66" s="290"/>
      <c r="AQ66" s="290"/>
      <c r="AR66" s="290"/>
      <c r="AS66" s="290"/>
      <c r="AT66" s="290"/>
      <c r="AU66" s="290"/>
      <c r="AV66" s="290"/>
      <c r="AW66" s="290"/>
      <c r="AX66" s="290"/>
      <c r="AY66" s="290"/>
      <c r="AZ66" s="290"/>
    </row>
    <row r="67" spans="1:52">
      <c r="A67" s="339" t="s">
        <v>158</v>
      </c>
      <c r="B67" s="339"/>
      <c r="C67" s="330" t="s">
        <v>159</v>
      </c>
      <c r="D67" s="329" t="s">
        <v>160</v>
      </c>
      <c r="E67" s="340" t="s">
        <v>161</v>
      </c>
      <c r="F67" s="340"/>
      <c r="G67" s="340"/>
      <c r="H67" s="34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290"/>
      <c r="AK67" s="290"/>
      <c r="AL67" s="290"/>
      <c r="AM67" s="290"/>
      <c r="AN67" s="290"/>
      <c r="AO67" s="290"/>
      <c r="AP67" s="290"/>
      <c r="AQ67" s="290"/>
      <c r="AR67" s="290"/>
      <c r="AS67" s="290"/>
      <c r="AT67" s="290"/>
      <c r="AU67" s="290"/>
      <c r="AV67" s="290"/>
      <c r="AW67" s="290"/>
      <c r="AX67" s="290"/>
      <c r="AY67" s="290"/>
      <c r="AZ67" s="290"/>
    </row>
    <row r="68" spans="1:52">
      <c r="C68" s="315" t="s">
        <v>162</v>
      </c>
      <c r="E68" s="341" t="s">
        <v>157</v>
      </c>
      <c r="F68" s="341"/>
      <c r="G68" s="341"/>
      <c r="H68" s="341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0"/>
      <c r="AL68" s="290"/>
      <c r="AM68" s="290"/>
      <c r="AN68" s="290"/>
      <c r="AO68" s="290"/>
      <c r="AP68" s="290"/>
      <c r="AQ68" s="290"/>
      <c r="AR68" s="290"/>
      <c r="AS68" s="290"/>
      <c r="AT68" s="290"/>
      <c r="AU68" s="290"/>
      <c r="AV68" s="290"/>
      <c r="AW68" s="290"/>
      <c r="AX68" s="290"/>
      <c r="AY68" s="290"/>
      <c r="AZ68" s="290"/>
    </row>
    <row r="69" spans="1:52">
      <c r="H69" s="316"/>
      <c r="K69" s="290"/>
      <c r="L69" s="290"/>
      <c r="M69" s="290"/>
      <c r="N69" s="290"/>
      <c r="O69" s="290"/>
      <c r="P69" s="290"/>
      <c r="Q69" s="290"/>
      <c r="R69" s="290"/>
      <c r="S69" s="290"/>
      <c r="T69" s="290"/>
      <c r="U69" s="290"/>
      <c r="V69" s="290"/>
      <c r="W69" s="290"/>
      <c r="X69" s="290"/>
      <c r="Y69" s="290"/>
      <c r="Z69" s="290"/>
      <c r="AA69" s="290"/>
      <c r="AB69" s="290"/>
      <c r="AC69" s="290"/>
      <c r="AD69" s="290"/>
      <c r="AE69" s="290"/>
      <c r="AF69" s="290"/>
      <c r="AG69" s="290"/>
      <c r="AH69" s="290"/>
      <c r="AI69" s="290"/>
      <c r="AJ69" s="290"/>
      <c r="AK69" s="290"/>
      <c r="AL69" s="290"/>
      <c r="AM69" s="290"/>
      <c r="AN69" s="290"/>
      <c r="AO69" s="290"/>
      <c r="AP69" s="290"/>
      <c r="AQ69" s="290"/>
      <c r="AR69" s="290"/>
      <c r="AS69" s="290"/>
      <c r="AT69" s="290"/>
      <c r="AU69" s="290"/>
      <c r="AV69" s="290"/>
      <c r="AW69" s="290"/>
      <c r="AX69" s="290"/>
      <c r="AY69" s="290"/>
      <c r="AZ69" s="290"/>
    </row>
    <row r="70" spans="1:52">
      <c r="A70" s="339" t="s">
        <v>163</v>
      </c>
      <c r="B70" s="339"/>
      <c r="C70" s="340" t="s">
        <v>164</v>
      </c>
      <c r="D70" s="340"/>
      <c r="E70" s="340"/>
      <c r="F70" s="340"/>
      <c r="G70" s="340"/>
      <c r="H70" s="340"/>
      <c r="K70" s="290"/>
      <c r="L70" s="290"/>
      <c r="M70" s="290"/>
      <c r="N70" s="290"/>
      <c r="O70" s="290"/>
      <c r="P70" s="290"/>
      <c r="Q70" s="290"/>
      <c r="R70" s="290"/>
      <c r="S70" s="290"/>
      <c r="T70" s="290"/>
      <c r="U70" s="290"/>
      <c r="V70" s="290"/>
      <c r="W70" s="290"/>
      <c r="X70" s="290"/>
      <c r="Y70" s="290"/>
      <c r="Z70" s="290"/>
      <c r="AA70" s="290"/>
      <c r="AB70" s="290"/>
      <c r="AC70" s="290"/>
      <c r="AD70" s="290"/>
      <c r="AE70" s="290"/>
      <c r="AF70" s="290"/>
      <c r="AG70" s="290"/>
      <c r="AH70" s="290"/>
      <c r="AI70" s="290"/>
      <c r="AJ70" s="290"/>
      <c r="AK70" s="290"/>
      <c r="AL70" s="290"/>
      <c r="AM70" s="290"/>
      <c r="AN70" s="290"/>
      <c r="AO70" s="290"/>
      <c r="AP70" s="290"/>
      <c r="AQ70" s="290"/>
      <c r="AR70" s="290"/>
      <c r="AS70" s="290"/>
      <c r="AT70" s="290"/>
      <c r="AU70" s="290"/>
      <c r="AV70" s="290"/>
      <c r="AW70" s="290"/>
      <c r="AX70" s="290"/>
      <c r="AY70" s="290"/>
      <c r="AZ70" s="290"/>
    </row>
    <row r="71" spans="1:52">
      <c r="C71" s="341" t="s">
        <v>165</v>
      </c>
      <c r="D71" s="341"/>
      <c r="E71" s="341"/>
      <c r="F71" s="341"/>
      <c r="G71" s="341"/>
      <c r="H71" s="341"/>
    </row>
  </sheetData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77" right="0.39370078740157477" top="0.78740157480314954" bottom="0.39370078740157477" header="0.78740157480314954" footer="0.39370078740157477"/>
  <pageSetup paperSize="9" scale="94" fitToHeight="0" orientation="landscape" r:id="rId1"/>
  <headerFooter alignWithMargins="0"/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5"/>
  <sheetViews>
    <sheetView tabSelected="1" view="pageLayout" topLeftCell="A23" zoomScale="90" zoomScaleNormal="100" zoomScaleSheetLayoutView="80" zoomScalePageLayoutView="90" workbookViewId="0">
      <selection activeCell="I31" sqref="I31"/>
    </sheetView>
  </sheetViews>
  <sheetFormatPr defaultRowHeight="12.75"/>
  <cols>
    <col min="1" max="1" width="5" style="1" customWidth="1"/>
    <col min="2" max="2" width="14.42578125" style="1" customWidth="1"/>
    <col min="3" max="3" width="38" style="1" customWidth="1"/>
    <col min="4" max="4" width="12" style="1" customWidth="1"/>
    <col min="5" max="7" width="10.42578125" style="1" customWidth="1"/>
    <col min="8" max="8" width="13.140625" style="1" customWidth="1"/>
    <col min="9" max="9" width="11" style="8" customWidth="1"/>
    <col min="10" max="13" width="10.42578125" style="8" customWidth="1"/>
    <col min="14" max="14" width="13" style="1" customWidth="1"/>
    <col min="15" max="15" width="12.5703125" style="1" customWidth="1"/>
    <col min="16" max="16" width="11.5703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15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59" t="s">
        <v>0</v>
      </c>
      <c r="O1" s="360"/>
      <c r="P1" s="360"/>
      <c r="Q1" s="360"/>
      <c r="R1" s="360"/>
    </row>
    <row r="2" spans="1:20" ht="16.5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1" t="s">
        <v>88</v>
      </c>
      <c r="O2" s="361"/>
      <c r="P2" s="361"/>
      <c r="Q2" s="361"/>
      <c r="R2" s="361"/>
    </row>
    <row r="3" spans="1:20" ht="24" customHeight="1">
      <c r="A3" s="366"/>
      <c r="B3" s="367"/>
      <c r="C3" s="368"/>
      <c r="D3" s="369"/>
      <c r="E3" s="369"/>
      <c r="F3" s="369"/>
      <c r="G3" s="369"/>
      <c r="H3" s="369"/>
      <c r="I3" s="2"/>
      <c r="J3" s="2"/>
      <c r="K3" s="2"/>
      <c r="L3" s="2"/>
      <c r="M3" s="2"/>
      <c r="N3" s="361"/>
      <c r="O3" s="361"/>
      <c r="P3" s="361"/>
      <c r="Q3" s="361"/>
      <c r="R3" s="361"/>
    </row>
    <row r="4" spans="1:20" ht="10.5" customHeight="1">
      <c r="A4" s="366"/>
      <c r="B4" s="367"/>
      <c r="C4" s="370"/>
      <c r="D4" s="371"/>
      <c r="E4" s="371"/>
      <c r="F4" s="371"/>
      <c r="G4" s="371"/>
      <c r="H4" s="371"/>
      <c r="I4" s="3"/>
      <c r="J4" s="3"/>
      <c r="K4" s="3"/>
      <c r="L4" s="3"/>
      <c r="M4" s="3"/>
      <c r="N4" s="361"/>
      <c r="O4" s="361"/>
      <c r="P4" s="361"/>
      <c r="Q4" s="361"/>
      <c r="R4" s="361"/>
    </row>
    <row r="5" spans="1:20" ht="39.75" customHeight="1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62" t="s">
        <v>85</v>
      </c>
      <c r="O5" s="363"/>
      <c r="P5" s="363"/>
      <c r="Q5" s="363"/>
      <c r="R5" s="363"/>
      <c r="S5" s="20"/>
    </row>
    <row r="6" spans="1:20" ht="15" customHeight="1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154"/>
      <c r="S6" s="21"/>
    </row>
    <row r="7" spans="1:20" ht="18" customHeight="1">
      <c r="A7" s="355" t="s">
        <v>181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21"/>
    </row>
    <row r="8" spans="1:20" ht="13.5" thickBot="1">
      <c r="A8" s="364"/>
      <c r="B8" s="364"/>
      <c r="C8" s="364"/>
      <c r="D8" s="364"/>
      <c r="E8" s="364"/>
      <c r="F8" s="364"/>
      <c r="G8" s="364"/>
      <c r="H8" s="364"/>
      <c r="I8" s="7"/>
      <c r="J8" s="7"/>
      <c r="K8" s="7"/>
      <c r="L8" s="7"/>
      <c r="M8" s="7"/>
    </row>
    <row r="9" spans="1:20" ht="76.5" customHeight="1">
      <c r="A9" s="372" t="s">
        <v>1</v>
      </c>
      <c r="B9" s="374" t="s">
        <v>2</v>
      </c>
      <c r="C9" s="376" t="s">
        <v>3</v>
      </c>
      <c r="D9" s="378" t="s">
        <v>83</v>
      </c>
      <c r="E9" s="379"/>
      <c r="F9" s="379"/>
      <c r="G9" s="379"/>
      <c r="H9" s="380"/>
      <c r="I9" s="392" t="s">
        <v>4</v>
      </c>
      <c r="J9" s="393"/>
      <c r="K9" s="393"/>
      <c r="L9" s="393"/>
      <c r="M9" s="394"/>
      <c r="N9" s="356" t="s">
        <v>87</v>
      </c>
      <c r="O9" s="357"/>
      <c r="P9" s="357"/>
      <c r="Q9" s="357"/>
      <c r="R9" s="358"/>
      <c r="S9" s="14"/>
      <c r="T9" s="13"/>
    </row>
    <row r="10" spans="1:20" ht="69" customHeight="1">
      <c r="A10" s="373"/>
      <c r="B10" s="375"/>
      <c r="C10" s="377"/>
      <c r="D10" s="84" t="s">
        <v>5</v>
      </c>
      <c r="E10" s="38" t="s">
        <v>6</v>
      </c>
      <c r="F10" s="38" t="s">
        <v>7</v>
      </c>
      <c r="G10" s="38" t="s">
        <v>8</v>
      </c>
      <c r="H10" s="85" t="s">
        <v>9</v>
      </c>
      <c r="I10" s="100" t="s">
        <v>5</v>
      </c>
      <c r="J10" s="39" t="s">
        <v>6</v>
      </c>
      <c r="K10" s="39" t="s">
        <v>7</v>
      </c>
      <c r="L10" s="39" t="s">
        <v>8</v>
      </c>
      <c r="M10" s="101" t="s">
        <v>9</v>
      </c>
      <c r="N10" s="100" t="s">
        <v>5</v>
      </c>
      <c r="O10" s="39" t="s">
        <v>6</v>
      </c>
      <c r="P10" s="39" t="s">
        <v>7</v>
      </c>
      <c r="Q10" s="39" t="s">
        <v>8</v>
      </c>
      <c r="R10" s="101" t="s">
        <v>9</v>
      </c>
      <c r="S10" s="15"/>
      <c r="T10" s="12"/>
    </row>
    <row r="11" spans="1:20">
      <c r="A11" s="40">
        <v>1</v>
      </c>
      <c r="B11" s="41">
        <v>2</v>
      </c>
      <c r="C11" s="75">
        <v>3</v>
      </c>
      <c r="D11" s="86">
        <v>4</v>
      </c>
      <c r="E11" s="42">
        <v>5</v>
      </c>
      <c r="F11" s="42">
        <v>6</v>
      </c>
      <c r="G11" s="42">
        <v>7</v>
      </c>
      <c r="H11" s="87">
        <v>8</v>
      </c>
      <c r="I11" s="102">
        <v>9</v>
      </c>
      <c r="J11" s="44">
        <v>10</v>
      </c>
      <c r="K11" s="44">
        <v>11</v>
      </c>
      <c r="L11" s="44">
        <v>12</v>
      </c>
      <c r="M11" s="103">
        <v>13</v>
      </c>
      <c r="N11" s="102">
        <v>27</v>
      </c>
      <c r="O11" s="44">
        <v>28</v>
      </c>
      <c r="P11" s="44">
        <v>29</v>
      </c>
      <c r="Q11" s="44">
        <v>30</v>
      </c>
      <c r="R11" s="103">
        <v>31</v>
      </c>
      <c r="S11" s="16"/>
    </row>
    <row r="12" spans="1:20" ht="15.75" customHeight="1">
      <c r="A12" s="397" t="s">
        <v>10</v>
      </c>
      <c r="B12" s="398"/>
      <c r="C12" s="399"/>
      <c r="D12" s="86"/>
      <c r="E12" s="42"/>
      <c r="F12" s="42"/>
      <c r="G12" s="42"/>
      <c r="H12" s="87"/>
      <c r="I12" s="86"/>
      <c r="J12" s="42"/>
      <c r="K12" s="42"/>
      <c r="L12" s="42"/>
      <c r="M12" s="87"/>
      <c r="N12" s="104"/>
      <c r="O12" s="43"/>
      <c r="P12" s="43"/>
      <c r="Q12" s="34"/>
      <c r="R12" s="238"/>
      <c r="S12" s="17"/>
    </row>
    <row r="13" spans="1:20" s="26" customFormat="1" ht="16.5" customHeight="1">
      <c r="A13" s="45"/>
      <c r="B13" s="235" t="s">
        <v>11</v>
      </c>
      <c r="C13" s="236"/>
      <c r="D13" s="107"/>
      <c r="E13" s="108"/>
      <c r="F13" s="108"/>
      <c r="G13" s="108">
        <v>0</v>
      </c>
      <c r="H13" s="109">
        <f>G13</f>
        <v>0</v>
      </c>
      <c r="I13" s="88"/>
      <c r="J13" s="46"/>
      <c r="K13" s="46"/>
      <c r="L13" s="46">
        <v>0</v>
      </c>
      <c r="M13" s="89">
        <f>L13</f>
        <v>0</v>
      </c>
      <c r="N13" s="156"/>
      <c r="O13" s="47"/>
      <c r="P13" s="47"/>
      <c r="Q13" s="48">
        <f>L13*3.42</f>
        <v>0</v>
      </c>
      <c r="R13" s="239">
        <f>Q13</f>
        <v>0</v>
      </c>
      <c r="S13" s="30"/>
    </row>
    <row r="14" spans="1:20" s="26" customFormat="1">
      <c r="A14" s="49"/>
      <c r="B14" s="50"/>
      <c r="C14" s="76" t="s">
        <v>12</v>
      </c>
      <c r="D14" s="107"/>
      <c r="E14" s="108"/>
      <c r="F14" s="108"/>
      <c r="G14" s="108">
        <f>G13</f>
        <v>0</v>
      </c>
      <c r="H14" s="109">
        <f>SUM(D14:G14)</f>
        <v>0</v>
      </c>
      <c r="I14" s="88"/>
      <c r="J14" s="46"/>
      <c r="K14" s="46"/>
      <c r="L14" s="46">
        <f>L13</f>
        <v>0</v>
      </c>
      <c r="M14" s="89">
        <f>M13</f>
        <v>0</v>
      </c>
      <c r="N14" s="146"/>
      <c r="O14" s="46"/>
      <c r="P14" s="46"/>
      <c r="Q14" s="46">
        <f>Q13</f>
        <v>0</v>
      </c>
      <c r="R14" s="240">
        <f>Q14</f>
        <v>0</v>
      </c>
      <c r="S14" s="31"/>
    </row>
    <row r="15" spans="1:20" s="26" customFormat="1" ht="15.75" customHeight="1">
      <c r="A15" s="400" t="s">
        <v>13</v>
      </c>
      <c r="B15" s="401"/>
      <c r="C15" s="402"/>
      <c r="D15" s="110"/>
      <c r="E15" s="111"/>
      <c r="F15" s="111"/>
      <c r="G15" s="111"/>
      <c r="H15" s="112"/>
      <c r="I15" s="147"/>
      <c r="J15" s="223"/>
      <c r="K15" s="223"/>
      <c r="L15" s="223"/>
      <c r="M15" s="90"/>
      <c r="N15" s="148"/>
      <c r="O15" s="149"/>
      <c r="P15" s="149"/>
      <c r="Q15" s="149"/>
      <c r="R15" s="241"/>
      <c r="S15" s="32"/>
    </row>
    <row r="16" spans="1:20" s="26" customFormat="1" ht="17.25" customHeight="1">
      <c r="A16" s="51">
        <v>1</v>
      </c>
      <c r="B16" s="52" t="s">
        <v>11</v>
      </c>
      <c r="C16" s="77" t="s">
        <v>183</v>
      </c>
      <c r="D16" s="225">
        <f>Текущие!D31</f>
        <v>598.88499999999999</v>
      </c>
      <c r="E16" s="123">
        <f>Текущие!E31</f>
        <v>1276.0360000000001</v>
      </c>
      <c r="F16" s="123">
        <f>Текущие!F31</f>
        <v>3540</v>
      </c>
      <c r="G16" s="123"/>
      <c r="H16" s="124">
        <f>SUM(D16:G16)</f>
        <v>5414.9210000000003</v>
      </c>
      <c r="I16" s="232">
        <f>Базовые!D31</f>
        <v>82.604827586206895</v>
      </c>
      <c r="J16" s="155">
        <f>Базовые!E31</f>
        <v>176.00496551724137</v>
      </c>
      <c r="K16" s="155">
        <f>Базовые!F31</f>
        <v>827.10280373831768</v>
      </c>
      <c r="L16" s="123">
        <f>G16/8.36</f>
        <v>0</v>
      </c>
      <c r="M16" s="124">
        <f t="shared" ref="M16:M19" si="0">SUM(I16:L16)</f>
        <v>1085.7125968417658</v>
      </c>
      <c r="N16" s="157">
        <f>I16*6.35</f>
        <v>524.54065517241372</v>
      </c>
      <c r="O16" s="158">
        <f>J16*6.35</f>
        <v>1117.6315310344826</v>
      </c>
      <c r="P16" s="158">
        <f>K16*3.82</f>
        <v>3159.5327102803735</v>
      </c>
      <c r="Q16" s="158">
        <f>L16*7.53</f>
        <v>0</v>
      </c>
      <c r="R16" s="242">
        <f t="shared" ref="R16:R19" si="1">SUM(N16:Q16)</f>
        <v>4801.7048964872702</v>
      </c>
      <c r="S16" s="25"/>
    </row>
    <row r="17" spans="1:19" s="26" customFormat="1" ht="30.75" customHeight="1">
      <c r="A17" s="51"/>
      <c r="B17" s="52"/>
      <c r="C17" s="77" t="s">
        <v>184</v>
      </c>
      <c r="D17" s="225"/>
      <c r="E17" s="123">
        <f>Текущие!E32</f>
        <v>67.468999999999994</v>
      </c>
      <c r="F17" s="123">
        <f>Текущие!F32</f>
        <v>38.585000000000001</v>
      </c>
      <c r="G17" s="123"/>
      <c r="H17" s="124">
        <f>SUM(D17:G17)</f>
        <v>106.054</v>
      </c>
      <c r="I17" s="232"/>
      <c r="J17" s="155">
        <f>Базовые!E32</f>
        <v>9.3060689655172411</v>
      </c>
      <c r="K17" s="155">
        <f>Базовые!F32</f>
        <v>9.0151869158878508</v>
      </c>
      <c r="L17" s="123"/>
      <c r="M17" s="124">
        <f t="shared" si="0"/>
        <v>18.321255881405094</v>
      </c>
      <c r="N17" s="157"/>
      <c r="O17" s="158">
        <f>J17*6.35</f>
        <v>59.093537931034476</v>
      </c>
      <c r="P17" s="158">
        <f>K17*3.82</f>
        <v>34.43801401869159</v>
      </c>
      <c r="Q17" s="158"/>
      <c r="R17" s="242">
        <f t="shared" si="1"/>
        <v>93.531551949726065</v>
      </c>
      <c r="S17" s="25"/>
    </row>
    <row r="18" spans="1:19" s="26" customFormat="1">
      <c r="A18" s="56"/>
      <c r="B18" s="57" t="s">
        <v>14</v>
      </c>
      <c r="C18" s="79" t="s">
        <v>15</v>
      </c>
      <c r="D18" s="120">
        <f>SUM(D16:D16)</f>
        <v>598.88499999999999</v>
      </c>
      <c r="E18" s="58">
        <f>SUM(E16:E17)</f>
        <v>1343.5050000000001</v>
      </c>
      <c r="F18" s="58">
        <f>SUM(F16:F17)</f>
        <v>3578.585</v>
      </c>
      <c r="G18" s="58">
        <f>SUM(G16:G16)</f>
        <v>0</v>
      </c>
      <c r="H18" s="94">
        <f>SUM(D18:G18)</f>
        <v>5520.9750000000004</v>
      </c>
      <c r="I18" s="120">
        <f>SUM(I16:I16)</f>
        <v>82.604827586206895</v>
      </c>
      <c r="J18" s="58">
        <f>SUM(J16:J17)</f>
        <v>185.3110344827586</v>
      </c>
      <c r="K18" s="58">
        <f>SUM(K16:K17)</f>
        <v>836.11799065420553</v>
      </c>
      <c r="L18" s="58">
        <f>SUM(L16:L16)</f>
        <v>0</v>
      </c>
      <c r="M18" s="94">
        <f t="shared" si="0"/>
        <v>1104.0338527231711</v>
      </c>
      <c r="N18" s="162">
        <f>SUM(N16:N16)</f>
        <v>524.54065517241372</v>
      </c>
      <c r="O18" s="163">
        <f>SUM(O16:O17)</f>
        <v>1176.725068965517</v>
      </c>
      <c r="P18" s="163">
        <f>SUM(P16:P17)</f>
        <v>3193.9707242990653</v>
      </c>
      <c r="Q18" s="163">
        <f>SUM(Q16:Q16)</f>
        <v>0</v>
      </c>
      <c r="R18" s="243">
        <f t="shared" si="1"/>
        <v>4895.2364484369955</v>
      </c>
      <c r="S18" s="27"/>
    </row>
    <row r="19" spans="1:19" s="26" customFormat="1">
      <c r="A19" s="56"/>
      <c r="B19" s="57"/>
      <c r="C19" s="80" t="s">
        <v>36</v>
      </c>
      <c r="D19" s="120">
        <f>D14+D18</f>
        <v>598.88499999999999</v>
      </c>
      <c r="E19" s="58">
        <f>E14+E18</f>
        <v>1343.5050000000001</v>
      </c>
      <c r="F19" s="58">
        <f>F14+F18</f>
        <v>3578.585</v>
      </c>
      <c r="G19" s="58">
        <f>G14+G18</f>
        <v>0</v>
      </c>
      <c r="H19" s="94">
        <f>SUM(D19:G19)</f>
        <v>5520.9750000000004</v>
      </c>
      <c r="I19" s="120">
        <f>I14+I18</f>
        <v>82.604827586206895</v>
      </c>
      <c r="J19" s="58">
        <f>J14+J18</f>
        <v>185.3110344827586</v>
      </c>
      <c r="K19" s="58">
        <f>K14+K18</f>
        <v>836.11799065420553</v>
      </c>
      <c r="L19" s="58">
        <f>L14+L18</f>
        <v>0</v>
      </c>
      <c r="M19" s="94">
        <f t="shared" si="0"/>
        <v>1104.0338527231711</v>
      </c>
      <c r="N19" s="162">
        <f>N14+N18</f>
        <v>524.54065517241372</v>
      </c>
      <c r="O19" s="163">
        <f>O14+O18</f>
        <v>1176.725068965517</v>
      </c>
      <c r="P19" s="163">
        <f>P14+P18</f>
        <v>3193.9707242990653</v>
      </c>
      <c r="Q19" s="163">
        <f>Q14+Q18</f>
        <v>0</v>
      </c>
      <c r="R19" s="243">
        <f t="shared" si="1"/>
        <v>4895.2364484369955</v>
      </c>
      <c r="S19" s="27"/>
    </row>
    <row r="20" spans="1:19" s="26" customFormat="1" ht="15.75" customHeight="1">
      <c r="A20" s="400" t="s">
        <v>16</v>
      </c>
      <c r="B20" s="401"/>
      <c r="C20" s="402"/>
      <c r="D20" s="121"/>
      <c r="E20" s="59"/>
      <c r="F20" s="59"/>
      <c r="G20" s="59"/>
      <c r="H20" s="96"/>
      <c r="I20" s="121"/>
      <c r="J20" s="59"/>
      <c r="K20" s="59"/>
      <c r="L20" s="59"/>
      <c r="M20" s="96"/>
      <c r="N20" s="164"/>
      <c r="O20" s="165"/>
      <c r="P20" s="165"/>
      <c r="Q20" s="165"/>
      <c r="R20" s="244"/>
      <c r="S20" s="28"/>
    </row>
    <row r="21" spans="1:19" s="26" customFormat="1" ht="25.5">
      <c r="A21" s="51">
        <v>5</v>
      </c>
      <c r="B21" s="52" t="s">
        <v>11</v>
      </c>
      <c r="C21" s="78" t="s">
        <v>169</v>
      </c>
      <c r="D21" s="119">
        <f>ROUND(D19*0.02,5)</f>
        <v>11.9777</v>
      </c>
      <c r="E21" s="54">
        <f>ROUND(E19*0.02,5)</f>
        <v>26.870100000000001</v>
      </c>
      <c r="F21" s="54"/>
      <c r="G21" s="55"/>
      <c r="H21" s="92">
        <f>SUM(D21:G21)</f>
        <v>38.847799999999999</v>
      </c>
      <c r="I21" s="119">
        <f>ROUND(I19*0.02,5)</f>
        <v>1.6520999999999999</v>
      </c>
      <c r="J21" s="54">
        <f>ROUND(J19*0.02,5)</f>
        <v>3.7062200000000001</v>
      </c>
      <c r="K21" s="55"/>
      <c r="L21" s="55"/>
      <c r="M21" s="92">
        <f t="shared" ref="M21" si="2">SUM(I21:L21)</f>
        <v>5.35832</v>
      </c>
      <c r="N21" s="159">
        <f>ROUND(N19*0.02,5)</f>
        <v>10.49081</v>
      </c>
      <c r="O21" s="160">
        <f>ROUND(O19*0.02,5)</f>
        <v>23.534500000000001</v>
      </c>
      <c r="P21" s="161"/>
      <c r="Q21" s="161"/>
      <c r="R21" s="245">
        <f>SUM(N21:Q21)</f>
        <v>34.025310000000005</v>
      </c>
      <c r="S21" s="18"/>
    </row>
    <row r="22" spans="1:19" s="26" customFormat="1">
      <c r="A22" s="56"/>
      <c r="B22" s="57" t="s">
        <v>14</v>
      </c>
      <c r="C22" s="79" t="s">
        <v>17</v>
      </c>
      <c r="D22" s="120">
        <f>SUM(D21:D21)</f>
        <v>11.9777</v>
      </c>
      <c r="E22" s="58">
        <f>SUM(E21:E21)</f>
        <v>26.870100000000001</v>
      </c>
      <c r="F22" s="58">
        <f>SUM(F21:F21)</f>
        <v>0</v>
      </c>
      <c r="G22" s="58">
        <v>0</v>
      </c>
      <c r="H22" s="94">
        <f>SUM(D22:G22)</f>
        <v>38.847799999999999</v>
      </c>
      <c r="I22" s="120">
        <f>SUM(I21:I21)</f>
        <v>1.6520999999999999</v>
      </c>
      <c r="J22" s="58">
        <f>SUM(J21:J21)</f>
        <v>3.7062200000000001</v>
      </c>
      <c r="K22" s="58">
        <f>SUM(K21:K21)</f>
        <v>0</v>
      </c>
      <c r="L22" s="58">
        <f>SUM(L21:L21)</f>
        <v>0</v>
      </c>
      <c r="M22" s="94">
        <f>SUM(I22:L22)</f>
        <v>5.35832</v>
      </c>
      <c r="N22" s="162">
        <f>SUM(N21:N21)</f>
        <v>10.49081</v>
      </c>
      <c r="O22" s="163">
        <f>SUM(O21:O21)</f>
        <v>23.534500000000001</v>
      </c>
      <c r="P22" s="163">
        <f>SUM(P21:P21)</f>
        <v>0</v>
      </c>
      <c r="Q22" s="163"/>
      <c r="R22" s="243">
        <f>SUM(N22:Q22)</f>
        <v>34.025310000000005</v>
      </c>
      <c r="S22" s="27"/>
    </row>
    <row r="23" spans="1:19" s="26" customFormat="1">
      <c r="A23" s="56"/>
      <c r="B23" s="57"/>
      <c r="C23" s="79" t="s">
        <v>18</v>
      </c>
      <c r="D23" s="120">
        <f>D14+D18+D22</f>
        <v>610.86270000000002</v>
      </c>
      <c r="E23" s="58">
        <f>E14+E18+E22</f>
        <v>1370.3751000000002</v>
      </c>
      <c r="F23" s="58">
        <f>F14+F18+F22</f>
        <v>3578.585</v>
      </c>
      <c r="G23" s="58">
        <f>G14+G18+G22</f>
        <v>0</v>
      </c>
      <c r="H23" s="94">
        <f>SUM(D23:G23)</f>
        <v>5559.8227999999999</v>
      </c>
      <c r="I23" s="120">
        <f>I14+I18+I22</f>
        <v>84.256927586206899</v>
      </c>
      <c r="J23" s="58">
        <f>J14+J18+J22</f>
        <v>189.0172544827586</v>
      </c>
      <c r="K23" s="58">
        <f>K14+K18+K22</f>
        <v>836.11799065420553</v>
      </c>
      <c r="L23" s="58">
        <f>L14+L18+L22</f>
        <v>0</v>
      </c>
      <c r="M23" s="94">
        <f>SUM(I23:L23)</f>
        <v>1109.3921727231709</v>
      </c>
      <c r="N23" s="162">
        <f>N14+N18+N22</f>
        <v>535.03146517241373</v>
      </c>
      <c r="O23" s="163">
        <f>O14+O18+O22</f>
        <v>1200.259568965517</v>
      </c>
      <c r="P23" s="163">
        <f>P14+P18+P22</f>
        <v>3193.9707242990653</v>
      </c>
      <c r="Q23" s="163">
        <f>Q19</f>
        <v>0</v>
      </c>
      <c r="R23" s="243">
        <f>SUM(N23:Q23)</f>
        <v>4929.2617584369964</v>
      </c>
      <c r="S23" s="27"/>
    </row>
    <row r="24" spans="1:19" s="26" customFormat="1" ht="15.75" customHeight="1">
      <c r="A24" s="400" t="s">
        <v>19</v>
      </c>
      <c r="B24" s="401"/>
      <c r="C24" s="402"/>
      <c r="D24" s="121"/>
      <c r="E24" s="59"/>
      <c r="F24" s="59"/>
      <c r="G24" s="59"/>
      <c r="H24" s="96"/>
      <c r="I24" s="121"/>
      <c r="J24" s="59"/>
      <c r="K24" s="59"/>
      <c r="L24" s="59"/>
      <c r="M24" s="96"/>
      <c r="N24" s="164"/>
      <c r="O24" s="165"/>
      <c r="P24" s="165"/>
      <c r="Q24" s="165"/>
      <c r="R24" s="244"/>
      <c r="S24" s="28"/>
    </row>
    <row r="25" spans="1:19" s="26" customFormat="1" ht="51" customHeight="1">
      <c r="A25" s="60">
        <f>A21+1</f>
        <v>6</v>
      </c>
      <c r="B25" s="53" t="s">
        <v>11</v>
      </c>
      <c r="C25" s="78" t="s">
        <v>50</v>
      </c>
      <c r="D25" s="119">
        <f>ROUND(D23*0.0352,5)</f>
        <v>21.502369999999999</v>
      </c>
      <c r="E25" s="54">
        <f>ROUND(E23*0.0352,5)</f>
        <v>48.237200000000001</v>
      </c>
      <c r="F25" s="54"/>
      <c r="G25" s="54"/>
      <c r="H25" s="97">
        <f>SUM(D25:G25)</f>
        <v>69.739570000000001</v>
      </c>
      <c r="I25" s="119">
        <f>ROUND(I23*0.0352,5)</f>
        <v>2.96584</v>
      </c>
      <c r="J25" s="54">
        <f>ROUND(J23*0.0352,5)</f>
        <v>6.65341</v>
      </c>
      <c r="K25" s="54"/>
      <c r="L25" s="54"/>
      <c r="M25" s="97">
        <f>SUM(I25:L25)</f>
        <v>9.619250000000001</v>
      </c>
      <c r="N25" s="159">
        <f>N23*0.0352</f>
        <v>18.833107574068965</v>
      </c>
      <c r="O25" s="160">
        <f>O23*0.0352</f>
        <v>42.249136827586199</v>
      </c>
      <c r="P25" s="160"/>
      <c r="Q25" s="160"/>
      <c r="R25" s="246">
        <f>SUM(N25:Q25)</f>
        <v>61.08224440165516</v>
      </c>
      <c r="S25" s="29"/>
    </row>
    <row r="26" spans="1:19" s="26" customFormat="1" ht="36" customHeight="1">
      <c r="A26" s="60">
        <f>A25+1</f>
        <v>7</v>
      </c>
      <c r="B26" s="53" t="s">
        <v>11</v>
      </c>
      <c r="C26" s="326" t="s">
        <v>136</v>
      </c>
      <c r="D26" s="119">
        <v>0</v>
      </c>
      <c r="E26" s="54">
        <v>0</v>
      </c>
      <c r="F26" s="54"/>
      <c r="G26" s="54">
        <v>0</v>
      </c>
      <c r="H26" s="97">
        <f>SUM(D26:G26)</f>
        <v>0</v>
      </c>
      <c r="I26" s="119">
        <v>0</v>
      </c>
      <c r="J26" s="54">
        <v>0</v>
      </c>
      <c r="K26" s="54"/>
      <c r="L26" s="54">
        <v>0</v>
      </c>
      <c r="M26" s="97">
        <f t="shared" ref="M26:M27" si="3">SUM(I26:L26)</f>
        <v>0</v>
      </c>
      <c r="N26" s="159">
        <v>0</v>
      </c>
      <c r="O26" s="160">
        <v>0</v>
      </c>
      <c r="P26" s="160"/>
      <c r="Q26" s="54"/>
      <c r="R26" s="246">
        <f t="shared" ref="R26" si="4">SUM(N26:Q26)</f>
        <v>0</v>
      </c>
      <c r="S26" s="29"/>
    </row>
    <row r="27" spans="1:19" s="26" customFormat="1" ht="19.5" customHeight="1">
      <c r="A27" s="60">
        <f>A26+1</f>
        <v>8</v>
      </c>
      <c r="B27" s="53"/>
      <c r="C27" s="77" t="s">
        <v>77</v>
      </c>
      <c r="D27" s="119"/>
      <c r="E27" s="54"/>
      <c r="F27" s="54"/>
      <c r="G27" s="54">
        <f>ROUND((D23+E23+H25)*0.0308,5)</f>
        <v>63.170099999999998</v>
      </c>
      <c r="H27" s="97">
        <f>SUM(D27:G27)</f>
        <v>63.170099999999998</v>
      </c>
      <c r="I27" s="119"/>
      <c r="J27" s="54"/>
      <c r="K27" s="54"/>
      <c r="L27" s="54">
        <f>ROUND((I23+J23+M25)*0.0308,5)</f>
        <v>8.71312</v>
      </c>
      <c r="M27" s="97">
        <f t="shared" si="3"/>
        <v>8.71312</v>
      </c>
      <c r="N27" s="224"/>
      <c r="O27" s="160"/>
      <c r="P27" s="160"/>
      <c r="Q27" s="160">
        <f>(N23+O23+R25)*0.0308</f>
        <v>55.328296979019242</v>
      </c>
      <c r="R27" s="247">
        <f>Q27</f>
        <v>55.328296979019242</v>
      </c>
      <c r="S27" s="29"/>
    </row>
    <row r="28" spans="1:19" s="26" customFormat="1" ht="12.75" customHeight="1">
      <c r="A28" s="62"/>
      <c r="B28" s="57" t="s">
        <v>14</v>
      </c>
      <c r="C28" s="79" t="s">
        <v>20</v>
      </c>
      <c r="D28" s="119">
        <f>SUM(D25:D26)</f>
        <v>21.502369999999999</v>
      </c>
      <c r="E28" s="54">
        <f>SUM(E25:E26)</f>
        <v>48.237200000000001</v>
      </c>
      <c r="F28" s="54">
        <f>SUM(F25:F26)</f>
        <v>0</v>
      </c>
      <c r="G28" s="54">
        <f>SUM(G25:G27)</f>
        <v>63.170099999999998</v>
      </c>
      <c r="H28" s="92">
        <f t="shared" ref="H28:H47" si="5">SUM(D28:G28)</f>
        <v>132.90967000000001</v>
      </c>
      <c r="I28" s="91">
        <f>SUM(I25:I26)</f>
        <v>2.96584</v>
      </c>
      <c r="J28" s="54">
        <f>SUM(J25:J26)</f>
        <v>6.65341</v>
      </c>
      <c r="K28" s="54">
        <f>SUM(K25:K26)</f>
        <v>0</v>
      </c>
      <c r="L28" s="54">
        <f>SUM(L26:L27)</f>
        <v>8.71312</v>
      </c>
      <c r="M28" s="92">
        <f>SUM(I28:L28)</f>
        <v>18.332370000000001</v>
      </c>
      <c r="N28" s="54">
        <f>SUM(N25:N26)</f>
        <v>18.833107574068965</v>
      </c>
      <c r="O28" s="54">
        <f>SUM(O25:O26)</f>
        <v>42.249136827586199</v>
      </c>
      <c r="P28" s="54">
        <f>SUM(P25:P26)</f>
        <v>0</v>
      </c>
      <c r="Q28" s="54">
        <f>SUM(Q25:Q27)</f>
        <v>55.328296979019242</v>
      </c>
      <c r="R28" s="248">
        <f>SUM(R25:R27)</f>
        <v>116.4105413806744</v>
      </c>
      <c r="S28" s="18"/>
    </row>
    <row r="29" spans="1:19" s="26" customFormat="1" ht="12.75" customHeight="1">
      <c r="A29" s="62"/>
      <c r="B29" s="57" t="s">
        <v>14</v>
      </c>
      <c r="C29" s="81" t="s">
        <v>21</v>
      </c>
      <c r="D29" s="93">
        <f>D23+D28</f>
        <v>632.36507000000006</v>
      </c>
      <c r="E29" s="58">
        <f>E23+E28</f>
        <v>1418.6123000000002</v>
      </c>
      <c r="F29" s="58">
        <f>F23+F28</f>
        <v>3578.585</v>
      </c>
      <c r="G29" s="58">
        <f>G23+G28</f>
        <v>63.170099999999998</v>
      </c>
      <c r="H29" s="94">
        <f>SUM(D29:G29)</f>
        <v>5692.7324700000008</v>
      </c>
      <c r="I29" s="93">
        <f>I23+I28</f>
        <v>87.222767586206899</v>
      </c>
      <c r="J29" s="58">
        <f>J23+J28</f>
        <v>195.67066448275861</v>
      </c>
      <c r="K29" s="58">
        <f>K23+K28</f>
        <v>836.11799065420553</v>
      </c>
      <c r="L29" s="58">
        <f>L23+L28</f>
        <v>8.71312</v>
      </c>
      <c r="M29" s="222">
        <f>SUM(I29:L29)</f>
        <v>1127.724542723171</v>
      </c>
      <c r="N29" s="229">
        <f>N23+N28</f>
        <v>553.86457274648274</v>
      </c>
      <c r="O29" s="231">
        <f>O23+O28</f>
        <v>1242.5087057931032</v>
      </c>
      <c r="P29" s="231">
        <f>P23+P28</f>
        <v>3193.9707242990653</v>
      </c>
      <c r="Q29" s="231">
        <f>Q23+Q28</f>
        <v>55.328296979019242</v>
      </c>
      <c r="R29" s="249">
        <f>SUM(N29:Q29)</f>
        <v>5045.6722998176701</v>
      </c>
      <c r="S29" s="27"/>
    </row>
    <row r="30" spans="1:19" s="26" customFormat="1" ht="15.75" customHeight="1">
      <c r="A30" s="403" t="s">
        <v>141</v>
      </c>
      <c r="B30" s="401"/>
      <c r="C30" s="402"/>
      <c r="D30" s="95"/>
      <c r="E30" s="59"/>
      <c r="F30" s="59"/>
      <c r="G30" s="59"/>
      <c r="H30" s="96"/>
      <c r="I30" s="95"/>
      <c r="J30" s="59"/>
      <c r="K30" s="59"/>
      <c r="L30" s="59"/>
      <c r="M30" s="96"/>
      <c r="N30" s="150"/>
      <c r="O30" s="151"/>
      <c r="P30" s="151"/>
      <c r="Q30" s="151"/>
      <c r="R30" s="241"/>
      <c r="S30" s="28"/>
    </row>
    <row r="31" spans="1:19" s="26" customFormat="1" ht="32.25" customHeight="1">
      <c r="A31" s="60">
        <v>9</v>
      </c>
      <c r="B31" s="325" t="s">
        <v>142</v>
      </c>
      <c r="C31" s="77" t="s">
        <v>143</v>
      </c>
      <c r="D31" s="91"/>
      <c r="E31" s="54"/>
      <c r="F31" s="54"/>
      <c r="G31" s="54">
        <f>ROUND(H29*0.0214,5)</f>
        <v>121.82447000000001</v>
      </c>
      <c r="H31" s="97">
        <f t="shared" si="5"/>
        <v>121.82447000000001</v>
      </c>
      <c r="I31" s="91"/>
      <c r="J31" s="54"/>
      <c r="K31" s="54"/>
      <c r="L31" s="54">
        <f>ROUND(M29*0.0214,5)</f>
        <v>24.133310000000002</v>
      </c>
      <c r="M31" s="97">
        <f>L31</f>
        <v>24.133310000000002</v>
      </c>
      <c r="N31" s="119"/>
      <c r="O31" s="54"/>
      <c r="P31" s="54"/>
      <c r="Q31" s="54">
        <f>R29*0.0214</f>
        <v>107.97738721609814</v>
      </c>
      <c r="R31" s="250">
        <f>SUM(N31:Q31)</f>
        <v>107.97738721609814</v>
      </c>
      <c r="S31" s="29"/>
    </row>
    <row r="32" spans="1:19" s="26" customFormat="1" ht="53.25" customHeight="1">
      <c r="A32" s="60"/>
      <c r="B32" s="325" t="s">
        <v>142</v>
      </c>
      <c r="C32" s="77" t="s">
        <v>144</v>
      </c>
      <c r="D32" s="91"/>
      <c r="E32" s="54"/>
      <c r="F32" s="54"/>
      <c r="G32" s="54">
        <f>ROUND(H29*0.0216,5)</f>
        <v>122.96302</v>
      </c>
      <c r="H32" s="97">
        <f>G32</f>
        <v>122.96302</v>
      </c>
      <c r="I32" s="91"/>
      <c r="J32" s="54"/>
      <c r="K32" s="54"/>
      <c r="L32" s="54">
        <f>ROUND(M29*0.0216,5)</f>
        <v>24.35885</v>
      </c>
      <c r="M32" s="97">
        <f>L32</f>
        <v>24.35885</v>
      </c>
      <c r="N32" s="119"/>
      <c r="O32" s="54"/>
      <c r="P32" s="54"/>
      <c r="Q32" s="54">
        <f>R29*0.0216</f>
        <v>108.98652167606168</v>
      </c>
      <c r="R32" s="250">
        <f>Q32</f>
        <v>108.98652167606168</v>
      </c>
      <c r="S32" s="29"/>
    </row>
    <row r="33" spans="1:44" s="26" customFormat="1">
      <c r="A33" s="56"/>
      <c r="B33" s="57" t="s">
        <v>14</v>
      </c>
      <c r="C33" s="79" t="s">
        <v>22</v>
      </c>
      <c r="D33" s="91">
        <f>D31</f>
        <v>0</v>
      </c>
      <c r="E33" s="54">
        <f>E31</f>
        <v>0</v>
      </c>
      <c r="F33" s="54">
        <f>F31</f>
        <v>0</v>
      </c>
      <c r="G33" s="54">
        <f>G31+G32</f>
        <v>244.78748999999999</v>
      </c>
      <c r="H33" s="97">
        <f t="shared" si="5"/>
        <v>244.78748999999999</v>
      </c>
      <c r="I33" s="91">
        <f>I31</f>
        <v>0</v>
      </c>
      <c r="J33" s="54">
        <f>J31</f>
        <v>0</v>
      </c>
      <c r="K33" s="54">
        <f>K31</f>
        <v>0</v>
      </c>
      <c r="L33" s="54">
        <f>L31+L32</f>
        <v>48.492159999999998</v>
      </c>
      <c r="M33" s="97">
        <f>SUM(I33:L33)</f>
        <v>48.492159999999998</v>
      </c>
      <c r="N33" s="91">
        <f>N31</f>
        <v>0</v>
      </c>
      <c r="O33" s="54">
        <f>O31</f>
        <v>0</v>
      </c>
      <c r="P33" s="54">
        <f>P31</f>
        <v>0</v>
      </c>
      <c r="Q33" s="54">
        <f>Q31+Q32</f>
        <v>216.96390889215982</v>
      </c>
      <c r="R33" s="250">
        <f>SUM(N33:Q33)</f>
        <v>216.96390889215982</v>
      </c>
      <c r="S33" s="29"/>
      <c r="T33" s="129"/>
    </row>
    <row r="34" spans="1:44" s="26" customFormat="1" ht="22.5" customHeight="1">
      <c r="A34" s="56"/>
      <c r="B34" s="57" t="s">
        <v>14</v>
      </c>
      <c r="C34" s="82" t="s">
        <v>23</v>
      </c>
      <c r="D34" s="91">
        <f>D29+D33</f>
        <v>632.36507000000006</v>
      </c>
      <c r="E34" s="54">
        <f>E29+E33</f>
        <v>1418.6123000000002</v>
      </c>
      <c r="F34" s="54">
        <f>F29+F33</f>
        <v>3578.585</v>
      </c>
      <c r="G34" s="54">
        <f>G29+G33</f>
        <v>307.95758999999998</v>
      </c>
      <c r="H34" s="97">
        <f t="shared" si="5"/>
        <v>5937.5199600000005</v>
      </c>
      <c r="I34" s="91">
        <f>I29+I33</f>
        <v>87.222767586206899</v>
      </c>
      <c r="J34" s="54">
        <f>J29+J33</f>
        <v>195.67066448275861</v>
      </c>
      <c r="K34" s="54">
        <f>K29+K33</f>
        <v>836.11799065420553</v>
      </c>
      <c r="L34" s="54">
        <f>L29+L33</f>
        <v>57.205280000000002</v>
      </c>
      <c r="M34" s="97">
        <f>SUM(I34:L34)</f>
        <v>1176.216702723171</v>
      </c>
      <c r="N34" s="91">
        <f>N29+N33</f>
        <v>553.86457274648274</v>
      </c>
      <c r="O34" s="54">
        <f>O29+O33</f>
        <v>1242.5087057931032</v>
      </c>
      <c r="P34" s="54">
        <f>P29+P33</f>
        <v>3193.9707242990653</v>
      </c>
      <c r="Q34" s="54">
        <f>Q29+Q33</f>
        <v>272.29220587117908</v>
      </c>
      <c r="R34" s="250">
        <f>SUM(N34:Q34)</f>
        <v>5262.6362087098305</v>
      </c>
      <c r="S34" s="29"/>
      <c r="T34" s="129"/>
    </row>
    <row r="35" spans="1:44" s="26" customFormat="1" ht="15.75" customHeight="1">
      <c r="A35" s="400" t="s">
        <v>24</v>
      </c>
      <c r="B35" s="401"/>
      <c r="C35" s="402"/>
      <c r="D35" s="95"/>
      <c r="E35" s="59"/>
      <c r="F35" s="59"/>
      <c r="G35" s="59"/>
      <c r="H35" s="96"/>
      <c r="I35" s="95"/>
      <c r="J35" s="59"/>
      <c r="K35" s="59"/>
      <c r="L35" s="59"/>
      <c r="M35" s="96"/>
      <c r="N35" s="152"/>
      <c r="O35" s="151"/>
      <c r="P35" s="151"/>
      <c r="Q35" s="151"/>
      <c r="R35" s="241"/>
      <c r="S35" s="28"/>
      <c r="T35" s="130" t="s">
        <v>78</v>
      </c>
      <c r="U35" s="131" t="s">
        <v>39</v>
      </c>
      <c r="V35" s="335">
        <f>V36+V37</f>
        <v>355.18705</v>
      </c>
      <c r="W35" s="132"/>
      <c r="X35" s="133"/>
    </row>
    <row r="36" spans="1:44" s="26" customFormat="1" ht="25.5">
      <c r="A36" s="60">
        <f>A31+1</f>
        <v>10</v>
      </c>
      <c r="B36" s="63" t="s">
        <v>25</v>
      </c>
      <c r="C36" s="78" t="s">
        <v>74</v>
      </c>
      <c r="D36" s="98"/>
      <c r="E36" s="61"/>
      <c r="F36" s="61"/>
      <c r="G36" s="54">
        <v>333.52947</v>
      </c>
      <c r="H36" s="97">
        <f>SUM(D36:G36)</f>
        <v>333.52947</v>
      </c>
      <c r="I36" s="98"/>
      <c r="J36" s="61"/>
      <c r="K36" s="61"/>
      <c r="L36" s="54">
        <f>G36/3.99</f>
        <v>83.591345864661648</v>
      </c>
      <c r="M36" s="97">
        <f>SUM(I36:L36)</f>
        <v>83.591345864661648</v>
      </c>
      <c r="N36" s="153"/>
      <c r="O36" s="125"/>
      <c r="P36" s="125"/>
      <c r="Q36" s="54">
        <f>G36</f>
        <v>333.52947</v>
      </c>
      <c r="R36" s="250">
        <f t="shared" ref="R36" si="6">SUM(N36:Q36)</f>
        <v>333.52947</v>
      </c>
      <c r="S36" s="29"/>
      <c r="T36" s="134"/>
      <c r="U36" s="135" t="s">
        <v>46</v>
      </c>
      <c r="V36" s="336">
        <f>R36</f>
        <v>333.52947</v>
      </c>
      <c r="W36" s="136"/>
      <c r="X36" s="137"/>
    </row>
    <row r="37" spans="1:44" s="26" customFormat="1" ht="15">
      <c r="A37" s="60"/>
      <c r="B37" s="63"/>
      <c r="C37" s="77" t="s">
        <v>73</v>
      </c>
      <c r="D37" s="98"/>
      <c r="E37" s="61"/>
      <c r="F37" s="61"/>
      <c r="G37" s="54">
        <v>0</v>
      </c>
      <c r="H37" s="97">
        <f>G37</f>
        <v>0</v>
      </c>
      <c r="I37" s="98"/>
      <c r="J37" s="61"/>
      <c r="K37" s="61"/>
      <c r="L37" s="54">
        <f>G37/3.99</f>
        <v>0</v>
      </c>
      <c r="M37" s="97">
        <f>L37</f>
        <v>0</v>
      </c>
      <c r="N37" s="153"/>
      <c r="O37" s="125"/>
      <c r="P37" s="125"/>
      <c r="Q37" s="54">
        <f>G37</f>
        <v>0</v>
      </c>
      <c r="R37" s="250">
        <f>Q37</f>
        <v>0</v>
      </c>
      <c r="S37" s="29"/>
      <c r="T37" s="134"/>
      <c r="U37" s="144" t="s">
        <v>42</v>
      </c>
      <c r="V37" s="336">
        <f>5.53653+16.12105</f>
        <v>21.657579999999999</v>
      </c>
      <c r="W37" s="136"/>
      <c r="X37" s="137"/>
    </row>
    <row r="38" spans="1:44" s="26" customFormat="1" ht="15">
      <c r="A38" s="56"/>
      <c r="B38" s="57" t="s">
        <v>14</v>
      </c>
      <c r="C38" s="79" t="s">
        <v>26</v>
      </c>
      <c r="D38" s="91">
        <f>SUM(D36:D36)</f>
        <v>0</v>
      </c>
      <c r="E38" s="54">
        <f>SUM(E36:E36)</f>
        <v>0</v>
      </c>
      <c r="F38" s="54">
        <f>SUM(F36:F36)</f>
        <v>0</v>
      </c>
      <c r="G38" s="54">
        <f>G36+G37</f>
        <v>333.52947</v>
      </c>
      <c r="H38" s="97">
        <f t="shared" si="5"/>
        <v>333.52947</v>
      </c>
      <c r="I38" s="91">
        <f>SUM(I36:I36)</f>
        <v>0</v>
      </c>
      <c r="J38" s="54">
        <f>SUM(J36:J36)</f>
        <v>0</v>
      </c>
      <c r="K38" s="54">
        <f>SUM(K36:K36)</f>
        <v>0</v>
      </c>
      <c r="L38" s="54">
        <f>SUM(L36:L37)</f>
        <v>83.591345864661648</v>
      </c>
      <c r="M38" s="97">
        <f t="shared" ref="M38" si="7">SUM(I38:L38)</f>
        <v>83.591345864661648</v>
      </c>
      <c r="N38" s="91">
        <f>SUM(N36:N36)</f>
        <v>0</v>
      </c>
      <c r="O38" s="54">
        <f>SUM(O36:O36)</f>
        <v>0</v>
      </c>
      <c r="P38" s="54">
        <f>SUM(P36:P36)</f>
        <v>0</v>
      </c>
      <c r="Q38" s="54">
        <f>SUM(Q36:Q37)</f>
        <v>333.52947</v>
      </c>
      <c r="R38" s="250">
        <f>SUM(N38:Q38)</f>
        <v>333.52947</v>
      </c>
      <c r="S38" s="29"/>
      <c r="T38" s="130" t="s">
        <v>78</v>
      </c>
      <c r="U38" s="131" t="s">
        <v>39</v>
      </c>
      <c r="V38" s="335">
        <f>R45-V35</f>
        <v>5576.3263290598316</v>
      </c>
      <c r="W38" s="233"/>
      <c r="X38" s="138"/>
    </row>
    <row r="39" spans="1:44" s="26" customFormat="1" ht="15">
      <c r="A39" s="56"/>
      <c r="B39" s="57" t="s">
        <v>14</v>
      </c>
      <c r="C39" s="82" t="s">
        <v>27</v>
      </c>
      <c r="D39" s="91">
        <f>D34+D38</f>
        <v>632.36507000000006</v>
      </c>
      <c r="E39" s="54">
        <f>E34+E38</f>
        <v>1418.6123000000002</v>
      </c>
      <c r="F39" s="54">
        <f>F34+F38</f>
        <v>3578.585</v>
      </c>
      <c r="G39" s="54">
        <f>G34+G38</f>
        <v>641.48705999999993</v>
      </c>
      <c r="H39" s="97">
        <f t="shared" si="5"/>
        <v>6271.0494300000009</v>
      </c>
      <c r="I39" s="91">
        <f>I34+I38</f>
        <v>87.222767586206899</v>
      </c>
      <c r="J39" s="54">
        <f>J34+J38</f>
        <v>195.67066448275861</v>
      </c>
      <c r="K39" s="54">
        <f>K34+K38</f>
        <v>836.11799065420553</v>
      </c>
      <c r="L39" s="54">
        <f>L34+L38</f>
        <v>140.79662586466165</v>
      </c>
      <c r="M39" s="97">
        <f>SUM(I39:L39)</f>
        <v>1259.8080485878327</v>
      </c>
      <c r="N39" s="91">
        <f>N34+N38</f>
        <v>553.86457274648274</v>
      </c>
      <c r="O39" s="54">
        <f>O34+O38</f>
        <v>1242.5087057931032</v>
      </c>
      <c r="P39" s="54">
        <f>P34+P38</f>
        <v>3193.9707242990653</v>
      </c>
      <c r="Q39" s="54">
        <f>Q34+Q38</f>
        <v>605.82167587117908</v>
      </c>
      <c r="R39" s="250">
        <f>SUM(N39:Q39)</f>
        <v>5596.16567870983</v>
      </c>
      <c r="S39" s="29"/>
      <c r="T39" s="139"/>
      <c r="U39" s="135" t="s">
        <v>40</v>
      </c>
      <c r="V39" s="336">
        <f>'НМЦ лота'!H44</f>
        <v>5231.0346698340791</v>
      </c>
      <c r="W39" s="142"/>
      <c r="X39" s="140"/>
    </row>
    <row r="40" spans="1:44" s="26" customFormat="1" ht="15">
      <c r="A40" s="400"/>
      <c r="B40" s="401"/>
      <c r="C40" s="402"/>
      <c r="D40" s="95"/>
      <c r="E40" s="59"/>
      <c r="F40" s="59"/>
      <c r="G40" s="59"/>
      <c r="H40" s="96"/>
      <c r="I40" s="95"/>
      <c r="J40" s="59"/>
      <c r="K40" s="59"/>
      <c r="L40" s="59"/>
      <c r="M40" s="96"/>
      <c r="N40" s="152"/>
      <c r="O40" s="151"/>
      <c r="P40" s="151"/>
      <c r="Q40" s="151"/>
      <c r="R40" s="241"/>
      <c r="S40" s="28"/>
      <c r="T40" s="141"/>
      <c r="U40" s="135" t="s">
        <v>41</v>
      </c>
      <c r="V40" s="337">
        <f>V38-V39-V41</f>
        <v>345.29165922575248</v>
      </c>
      <c r="W40" s="338">
        <f>((R23+R25+R26)*0.015+(R27+R33)*1.03)*1.06*1.049*1.143*1.063*1.044*1.046*S44</f>
        <v>366.9492440901231</v>
      </c>
      <c r="X40" s="143"/>
    </row>
    <row r="41" spans="1:44" s="26" customFormat="1" ht="25.5">
      <c r="A41" s="56">
        <v>8</v>
      </c>
      <c r="B41" s="64" t="s">
        <v>28</v>
      </c>
      <c r="C41" s="79" t="s">
        <v>29</v>
      </c>
      <c r="D41" s="119">
        <f>ROUND(D39*0.03,5)</f>
        <v>18.970949999999998</v>
      </c>
      <c r="E41" s="54">
        <f>ROUND(E39*0.03,5)</f>
        <v>42.558369999999996</v>
      </c>
      <c r="F41" s="54">
        <f>ROUND(F39*0.03,5)</f>
        <v>107.35755</v>
      </c>
      <c r="G41" s="54">
        <f>ROUND(G39*0.03,5)</f>
        <v>19.244610000000002</v>
      </c>
      <c r="H41" s="97">
        <f t="shared" si="5"/>
        <v>188.13147999999998</v>
      </c>
      <c r="I41" s="91">
        <f>ROUND(I39*0.03,5)</f>
        <v>2.6166800000000001</v>
      </c>
      <c r="J41" s="54">
        <f>ROUND(J39*0.03,5)</f>
        <v>5.87012</v>
      </c>
      <c r="K41" s="54">
        <f>ROUND(K39*0.03,5)</f>
        <v>25.083539999999999</v>
      </c>
      <c r="L41" s="54">
        <f>ROUND(L39*0.03,5)</f>
        <v>4.2239000000000004</v>
      </c>
      <c r="M41" s="97">
        <f>SUM(I41:L41)</f>
        <v>37.794240000000002</v>
      </c>
      <c r="N41" s="91">
        <f>N39*0.03</f>
        <v>16.615937182394482</v>
      </c>
      <c r="O41" s="54">
        <f t="shared" ref="O41:P41" si="8">O39*0.03</f>
        <v>37.275261173793098</v>
      </c>
      <c r="P41" s="54">
        <f t="shared" si="8"/>
        <v>95.81912172897195</v>
      </c>
      <c r="Q41" s="54">
        <f>(Q39-Q38)*0.03</f>
        <v>8.1687661761353727</v>
      </c>
      <c r="R41" s="250">
        <f>SUM(N41:Q41)</f>
        <v>157.8790862612949</v>
      </c>
      <c r="S41" s="29"/>
      <c r="T41" s="144"/>
      <c r="U41" s="144" t="s">
        <v>42</v>
      </c>
      <c r="V41" s="166"/>
    </row>
    <row r="42" spans="1:44" s="33" customFormat="1" ht="12.75" customHeight="1">
      <c r="A42" s="65"/>
      <c r="B42" s="66" t="s">
        <v>14</v>
      </c>
      <c r="C42" s="83" t="s">
        <v>30</v>
      </c>
      <c r="D42" s="93">
        <f>D39+D41</f>
        <v>651.33602000000008</v>
      </c>
      <c r="E42" s="58">
        <f>E39+E41</f>
        <v>1461.1706700000002</v>
      </c>
      <c r="F42" s="58">
        <f>F39+F41</f>
        <v>3685.9425500000002</v>
      </c>
      <c r="G42" s="58">
        <f>G39+G41</f>
        <v>660.73166999999989</v>
      </c>
      <c r="H42" s="99">
        <f>SUM(D42:G42)</f>
        <v>6459.18091</v>
      </c>
      <c r="I42" s="93">
        <f>I39+I41</f>
        <v>89.839447586206902</v>
      </c>
      <c r="J42" s="58">
        <f>J39+J41</f>
        <v>201.54078448275862</v>
      </c>
      <c r="K42" s="58">
        <f>K39+K41</f>
        <v>861.2015306542055</v>
      </c>
      <c r="L42" s="58">
        <f>L39+L41</f>
        <v>145.02052586466164</v>
      </c>
      <c r="M42" s="99">
        <f>SUM(I42:L42)</f>
        <v>1297.6022885878328</v>
      </c>
      <c r="N42" s="120">
        <f>N39+N41</f>
        <v>570.48050992887727</v>
      </c>
      <c r="O42" s="226">
        <f>O39+O41</f>
        <v>1279.7839669668963</v>
      </c>
      <c r="P42" s="226">
        <f>P39+P41</f>
        <v>3289.7898460280371</v>
      </c>
      <c r="Q42" s="226">
        <f>Q39+Q41</f>
        <v>613.99044204731445</v>
      </c>
      <c r="R42" s="251">
        <f>SUM(N42:Q42)</f>
        <v>5754.0447649711241</v>
      </c>
      <c r="S42" s="127"/>
    </row>
    <row r="43" spans="1:44" s="26" customFormat="1" ht="31.5" customHeight="1">
      <c r="A43" s="113"/>
      <c r="B43" s="114"/>
      <c r="C43" s="115" t="s">
        <v>170</v>
      </c>
      <c r="D43" s="116"/>
      <c r="E43" s="117"/>
      <c r="F43" s="117"/>
      <c r="G43" s="117"/>
      <c r="H43" s="118"/>
      <c r="I43" s="116"/>
      <c r="J43" s="117"/>
      <c r="K43" s="117"/>
      <c r="L43" s="117"/>
      <c r="M43" s="118"/>
      <c r="N43" s="126">
        <f>N42*1.06*1.049*1.143*1.063*1.044*1.046</f>
        <v>841.65448729224931</v>
      </c>
      <c r="O43" s="117">
        <f t="shared" ref="O43:P43" si="9">O42*1.06*1.049*1.143*1.063*1.044*1.046</f>
        <v>1888.1204525228252</v>
      </c>
      <c r="P43" s="117">
        <f t="shared" si="9"/>
        <v>4853.5687687265154</v>
      </c>
      <c r="Q43" s="117">
        <f>(Q42-Q38)*1.06*1.049*1.143*1.063*1.044*1.046+Q38</f>
        <v>747.30563154388369</v>
      </c>
      <c r="R43" s="252">
        <f>SUM(N43:Q43)</f>
        <v>8330.6493400854743</v>
      </c>
      <c r="S43" s="128"/>
      <c r="T43" s="413" t="s">
        <v>79</v>
      </c>
      <c r="U43" s="410" t="s">
        <v>43</v>
      </c>
      <c r="V43" s="411"/>
      <c r="W43" s="411"/>
      <c r="X43" s="412"/>
      <c r="Y43" s="413" t="s">
        <v>80</v>
      </c>
      <c r="Z43" s="410" t="s">
        <v>43</v>
      </c>
      <c r="AA43" s="411"/>
      <c r="AB43" s="411"/>
      <c r="AC43" s="412"/>
      <c r="AD43" s="413" t="s">
        <v>44</v>
      </c>
      <c r="AE43" s="410" t="s">
        <v>43</v>
      </c>
      <c r="AF43" s="411"/>
      <c r="AG43" s="411"/>
      <c r="AH43" s="412"/>
      <c r="AI43" s="413" t="s">
        <v>45</v>
      </c>
      <c r="AJ43" s="410" t="s">
        <v>43</v>
      </c>
      <c r="AK43" s="411"/>
      <c r="AL43" s="411"/>
      <c r="AM43" s="412"/>
      <c r="AN43" s="404" t="s">
        <v>81</v>
      </c>
      <c r="AO43" s="406" t="s">
        <v>82</v>
      </c>
      <c r="AP43" s="407"/>
      <c r="AQ43" s="407"/>
      <c r="AR43" s="408"/>
    </row>
    <row r="44" spans="1:44" s="26" customFormat="1" ht="25.5" customHeight="1">
      <c r="A44" s="113"/>
      <c r="B44" s="114"/>
      <c r="C44" s="115" t="s">
        <v>38</v>
      </c>
      <c r="D44" s="116"/>
      <c r="E44" s="117"/>
      <c r="F44" s="117"/>
      <c r="G44" s="117"/>
      <c r="H44" s="118"/>
      <c r="I44" s="116"/>
      <c r="J44" s="117"/>
      <c r="K44" s="117"/>
      <c r="L44" s="117"/>
      <c r="M44" s="118"/>
      <c r="N44" s="126">
        <f>N43*$S$44</f>
        <v>589.1581411045745</v>
      </c>
      <c r="O44" s="227">
        <f>O43*$S$44</f>
        <v>1321.6843167659777</v>
      </c>
      <c r="P44" s="227">
        <f>P43*$S$44</f>
        <v>3397.4981381085604</v>
      </c>
      <c r="Q44" s="227">
        <f>(Q43-Q38)*$S$44+Q38</f>
        <v>623.17278308071855</v>
      </c>
      <c r="R44" s="253">
        <f>SUM(N44:Q44)</f>
        <v>5931.5133790598311</v>
      </c>
      <c r="S44" s="122">
        <v>0.7</v>
      </c>
      <c r="T44" s="414"/>
      <c r="U44" s="145" t="s">
        <v>46</v>
      </c>
      <c r="V44" s="145" t="s">
        <v>47</v>
      </c>
      <c r="W44" s="145" t="s">
        <v>48</v>
      </c>
      <c r="X44" s="145" t="s">
        <v>49</v>
      </c>
      <c r="Y44" s="414"/>
      <c r="Z44" s="145" t="s">
        <v>46</v>
      </c>
      <c r="AA44" s="145" t="s">
        <v>47</v>
      </c>
      <c r="AB44" s="145" t="s">
        <v>48</v>
      </c>
      <c r="AC44" s="145" t="s">
        <v>49</v>
      </c>
      <c r="AD44" s="414"/>
      <c r="AE44" s="145" t="s">
        <v>46</v>
      </c>
      <c r="AF44" s="145" t="s">
        <v>47</v>
      </c>
      <c r="AG44" s="145" t="s">
        <v>48</v>
      </c>
      <c r="AH44" s="145" t="s">
        <v>49</v>
      </c>
      <c r="AI44" s="414"/>
      <c r="AJ44" s="145" t="s">
        <v>46</v>
      </c>
      <c r="AK44" s="145" t="s">
        <v>47</v>
      </c>
      <c r="AL44" s="145" t="s">
        <v>48</v>
      </c>
      <c r="AM44" s="145" t="s">
        <v>49</v>
      </c>
      <c r="AN44" s="405"/>
      <c r="AO44" s="228" t="s">
        <v>46</v>
      </c>
      <c r="AP44" s="228" t="s">
        <v>48</v>
      </c>
      <c r="AQ44" s="228" t="s">
        <v>47</v>
      </c>
      <c r="AR44" s="228" t="s">
        <v>49</v>
      </c>
    </row>
    <row r="45" spans="1:44" s="26" customFormat="1" ht="19.5" customHeight="1">
      <c r="A45" s="65"/>
      <c r="B45" s="67" t="s">
        <v>14</v>
      </c>
      <c r="C45" s="83" t="s">
        <v>31</v>
      </c>
      <c r="D45" s="93">
        <f>D42</f>
        <v>651.33602000000008</v>
      </c>
      <c r="E45" s="58">
        <f>E42</f>
        <v>1461.1706700000002</v>
      </c>
      <c r="F45" s="58">
        <f>F42</f>
        <v>3685.9425500000002</v>
      </c>
      <c r="G45" s="58">
        <f>G42</f>
        <v>660.73166999999989</v>
      </c>
      <c r="H45" s="251">
        <f t="shared" si="5"/>
        <v>6459.18091</v>
      </c>
      <c r="I45" s="255">
        <f>I42</f>
        <v>89.839447586206902</v>
      </c>
      <c r="J45" s="256">
        <f>J42</f>
        <v>201.54078448275862</v>
      </c>
      <c r="K45" s="256">
        <f>K42</f>
        <v>861.2015306542055</v>
      </c>
      <c r="L45" s="256">
        <f>L42</f>
        <v>145.02052586466164</v>
      </c>
      <c r="M45" s="251">
        <f>SUM(I45:L45)</f>
        <v>1297.6022885878328</v>
      </c>
      <c r="N45" s="255">
        <f>N44</f>
        <v>589.1581411045745</v>
      </c>
      <c r="O45" s="256">
        <f>O44</f>
        <v>1321.6843167659777</v>
      </c>
      <c r="P45" s="256">
        <f t="shared" ref="P45" si="10">P44</f>
        <v>3397.4981381085604</v>
      </c>
      <c r="Q45" s="256">
        <f>Q44</f>
        <v>623.17278308071855</v>
      </c>
      <c r="R45" s="251">
        <f>R44</f>
        <v>5931.5133790598311</v>
      </c>
      <c r="S45" s="122"/>
      <c r="T45" s="167">
        <f>H45</f>
        <v>6459.18091</v>
      </c>
      <c r="U45" s="167">
        <f>H38</f>
        <v>333.52947</v>
      </c>
      <c r="V45" s="167">
        <f>F45</f>
        <v>3685.9425500000002</v>
      </c>
      <c r="W45" s="167">
        <f>D45+E45</f>
        <v>2112.5066900000002</v>
      </c>
      <c r="X45" s="167">
        <f>T45-U45-V45-W45</f>
        <v>327.20219999999927</v>
      </c>
      <c r="Y45" s="167">
        <f>M45</f>
        <v>1297.6022885878328</v>
      </c>
      <c r="Z45" s="167">
        <f>M36</f>
        <v>83.591345864661648</v>
      </c>
      <c r="AA45" s="167">
        <f>K45</f>
        <v>861.2015306542055</v>
      </c>
      <c r="AB45" s="167">
        <f>I45+J45</f>
        <v>291.38023206896554</v>
      </c>
      <c r="AC45" s="167">
        <f>Y45-Z45-AA45-AB45</f>
        <v>61.429180000000144</v>
      </c>
      <c r="AD45" s="167">
        <f>R43</f>
        <v>8330.6493400854743</v>
      </c>
      <c r="AE45" s="168">
        <f>R38</f>
        <v>333.52947</v>
      </c>
      <c r="AF45" s="167">
        <f>P43</f>
        <v>4853.5687687265154</v>
      </c>
      <c r="AG45" s="167">
        <f>N43+O43</f>
        <v>2729.7749398150745</v>
      </c>
      <c r="AH45" s="167">
        <f>AD45-AE45-AF45-AG45</f>
        <v>413.77616154388397</v>
      </c>
      <c r="AI45" s="167">
        <f>R45</f>
        <v>5931.5133790598311</v>
      </c>
      <c r="AJ45" s="167">
        <f>AE45</f>
        <v>333.52947</v>
      </c>
      <c r="AK45" s="167">
        <f>P44</f>
        <v>3397.4981381085604</v>
      </c>
      <c r="AL45" s="167">
        <f>N44+O44</f>
        <v>1910.8424578705522</v>
      </c>
      <c r="AM45" s="167">
        <f>AI45-AJ45-AK45-AL45</f>
        <v>289.64331308071814</v>
      </c>
      <c r="AN45" s="167">
        <f>V38</f>
        <v>5576.3263290598316</v>
      </c>
      <c r="AO45" s="167"/>
      <c r="AP45" s="167">
        <f>'НМЦ лота'!D44+'НМЦ лота'!E44</f>
        <v>1883.014659950401</v>
      </c>
      <c r="AQ45" s="167">
        <f>'НМЦ лота'!F44</f>
        <v>3348.0200098836781</v>
      </c>
      <c r="AR45" s="167">
        <f>AN45-AO45-AP45-AQ45</f>
        <v>345.29165922575248</v>
      </c>
    </row>
    <row r="46" spans="1:44" s="26" customFormat="1">
      <c r="A46" s="62"/>
      <c r="B46" s="68" t="s">
        <v>14</v>
      </c>
      <c r="C46" s="79" t="s">
        <v>32</v>
      </c>
      <c r="D46" s="91">
        <f>D45*0.18</f>
        <v>117.2404836</v>
      </c>
      <c r="E46" s="54">
        <f>E45*0.18</f>
        <v>263.01072060000001</v>
      </c>
      <c r="F46" s="54">
        <f>F45*0.18</f>
        <v>663.46965899999998</v>
      </c>
      <c r="G46" s="54">
        <f>G45*0.18</f>
        <v>118.93170059999997</v>
      </c>
      <c r="H46" s="250">
        <f t="shared" si="5"/>
        <v>1162.6525637999998</v>
      </c>
      <c r="I46" s="257">
        <f>I45*0.18</f>
        <v>16.171100565517243</v>
      </c>
      <c r="J46" s="248">
        <f>J45*0.18</f>
        <v>36.277341206896551</v>
      </c>
      <c r="K46" s="248">
        <f>K45*0.18</f>
        <v>155.01627551775698</v>
      </c>
      <c r="L46" s="248">
        <f>L45*0.18</f>
        <v>26.103694655639092</v>
      </c>
      <c r="M46" s="250">
        <f>SUM(I46:L46)</f>
        <v>233.56841194580986</v>
      </c>
      <c r="N46" s="257">
        <f>N45*0.18</f>
        <v>106.04846539882341</v>
      </c>
      <c r="O46" s="248">
        <f>O45*0.18</f>
        <v>237.90317701787598</v>
      </c>
      <c r="P46" s="248">
        <f>P45*0.18</f>
        <v>611.54966485954083</v>
      </c>
      <c r="Q46" s="248">
        <f>Q45*0.18</f>
        <v>112.17110095452934</v>
      </c>
      <c r="R46" s="250">
        <f>SUM(N46:Q46)</f>
        <v>1067.6724082307694</v>
      </c>
      <c r="S46" s="122"/>
    </row>
    <row r="47" spans="1:44" s="26" customFormat="1" ht="26.25" thickBot="1">
      <c r="A47" s="56"/>
      <c r="B47" s="68" t="s">
        <v>14</v>
      </c>
      <c r="C47" s="79" t="s">
        <v>33</v>
      </c>
      <c r="D47" s="105">
        <f>D45+D46</f>
        <v>768.57650360000002</v>
      </c>
      <c r="E47" s="106">
        <f>E45+E46</f>
        <v>1724.1813906000002</v>
      </c>
      <c r="F47" s="106">
        <f>F45+F46</f>
        <v>4349.4122090000001</v>
      </c>
      <c r="G47" s="106">
        <f>G45+G46</f>
        <v>779.66337059999989</v>
      </c>
      <c r="H47" s="254">
        <f t="shared" si="5"/>
        <v>7621.8334738000003</v>
      </c>
      <c r="I47" s="258">
        <f>I45+I46</f>
        <v>106.01054815172415</v>
      </c>
      <c r="J47" s="259">
        <f>J45+J46</f>
        <v>237.81812568965518</v>
      </c>
      <c r="K47" s="259">
        <f>K45+K46</f>
        <v>1016.2178061719625</v>
      </c>
      <c r="L47" s="259">
        <f>L45+L46</f>
        <v>171.12422052030072</v>
      </c>
      <c r="M47" s="254">
        <f>SUM(I47:L47)</f>
        <v>1531.1707005336425</v>
      </c>
      <c r="N47" s="258">
        <f>N45+N46</f>
        <v>695.20660650339789</v>
      </c>
      <c r="O47" s="259">
        <f>O45+O46</f>
        <v>1559.5874937838537</v>
      </c>
      <c r="P47" s="259">
        <f>P45+P46</f>
        <v>4009.0478029681012</v>
      </c>
      <c r="Q47" s="259">
        <f>Q45+Q46</f>
        <v>735.34388403524792</v>
      </c>
      <c r="R47" s="254">
        <f>SUM(N47:Q47)</f>
        <v>6999.1857872906012</v>
      </c>
      <c r="S47" s="122"/>
    </row>
    <row r="48" spans="1:44">
      <c r="A48" s="69" t="s">
        <v>14</v>
      </c>
      <c r="B48" s="381" t="s">
        <v>14</v>
      </c>
      <c r="C48" s="382"/>
      <c r="D48" s="383" t="s">
        <v>14</v>
      </c>
      <c r="E48" s="384"/>
      <c r="F48" s="385" t="s">
        <v>14</v>
      </c>
      <c r="G48" s="386"/>
      <c r="H48" s="386"/>
      <c r="I48" s="35"/>
      <c r="J48" s="35"/>
      <c r="K48" s="35"/>
      <c r="L48" s="35"/>
      <c r="M48" s="36"/>
      <c r="N48" s="37"/>
      <c r="O48" s="37"/>
      <c r="P48" s="37"/>
      <c r="Q48" s="37"/>
      <c r="R48" s="37"/>
    </row>
    <row r="49" spans="1:19" ht="19.5" customHeight="1">
      <c r="A49" s="69"/>
      <c r="B49" s="387" t="s">
        <v>93</v>
      </c>
      <c r="C49" s="387"/>
      <c r="D49" s="387"/>
      <c r="E49" s="387"/>
      <c r="F49" s="387"/>
      <c r="G49" s="387"/>
      <c r="H49" s="387"/>
      <c r="I49" s="70"/>
      <c r="J49" s="70"/>
      <c r="K49" s="70"/>
      <c r="L49" s="70"/>
      <c r="M49" s="70"/>
      <c r="N49" s="37"/>
      <c r="O49" s="37"/>
      <c r="P49" s="37"/>
      <c r="Q49" s="37"/>
      <c r="R49" s="74"/>
    </row>
    <row r="50" spans="1:19" ht="21.75" customHeight="1">
      <c r="A50" s="69"/>
      <c r="B50" s="387" t="s">
        <v>94</v>
      </c>
      <c r="C50" s="387"/>
      <c r="D50" s="387"/>
      <c r="E50" s="387"/>
      <c r="F50" s="387"/>
      <c r="G50" s="387"/>
      <c r="H50" s="387"/>
      <c r="I50" s="70"/>
      <c r="J50" s="70"/>
      <c r="K50" s="70"/>
      <c r="L50" s="37"/>
      <c r="M50" s="37"/>
      <c r="N50" s="37"/>
      <c r="O50" s="37"/>
      <c r="P50" s="37"/>
      <c r="Q50" s="37"/>
      <c r="R50" s="37"/>
    </row>
    <row r="51" spans="1:19" ht="31.5" customHeight="1">
      <c r="A51" s="69"/>
      <c r="B51" s="388" t="s">
        <v>34</v>
      </c>
      <c r="C51" s="388"/>
      <c r="D51" s="388"/>
      <c r="E51" s="388"/>
      <c r="F51" s="388"/>
      <c r="G51" s="71"/>
      <c r="H51" s="389" t="s">
        <v>176</v>
      </c>
      <c r="I51" s="390"/>
      <c r="J51" s="390"/>
      <c r="K51" s="390"/>
      <c r="L51" s="390"/>
      <c r="M51" s="391"/>
      <c r="N51" s="395">
        <f>H45</f>
        <v>6459.18091</v>
      </c>
      <c r="O51" s="396"/>
      <c r="P51" s="409" t="s">
        <v>37</v>
      </c>
      <c r="Q51" s="409"/>
      <c r="S51" s="22"/>
    </row>
    <row r="52" spans="1:19" ht="39" customHeight="1">
      <c r="A52" s="37"/>
      <c r="B52" s="72" t="s">
        <v>35</v>
      </c>
      <c r="C52" s="72"/>
      <c r="D52" s="72"/>
      <c r="E52" s="72"/>
      <c r="F52" s="72"/>
      <c r="G52" s="37"/>
      <c r="H52" s="389" t="s">
        <v>177</v>
      </c>
      <c r="I52" s="390"/>
      <c r="J52" s="390"/>
      <c r="K52" s="390"/>
      <c r="L52" s="390"/>
      <c r="M52" s="391"/>
      <c r="N52" s="395">
        <f>R43</f>
        <v>8330.6493400854743</v>
      </c>
      <c r="O52" s="396"/>
      <c r="P52" s="409" t="s">
        <v>37</v>
      </c>
      <c r="Q52" s="409"/>
      <c r="S52" s="22"/>
    </row>
    <row r="53" spans="1:19" ht="45" customHeight="1">
      <c r="A53" s="37"/>
      <c r="B53" s="72" t="s">
        <v>72</v>
      </c>
      <c r="C53" s="72"/>
      <c r="D53" s="72"/>
      <c r="E53" s="72"/>
      <c r="G53" s="234" t="s">
        <v>95</v>
      </c>
      <c r="H53" s="389" t="s">
        <v>178</v>
      </c>
      <c r="I53" s="390"/>
      <c r="J53" s="390"/>
      <c r="K53" s="390"/>
      <c r="L53" s="390"/>
      <c r="M53" s="391"/>
      <c r="N53" s="395">
        <f>R45</f>
        <v>5931.5133790598311</v>
      </c>
      <c r="O53" s="396"/>
      <c r="P53" s="409" t="s">
        <v>37</v>
      </c>
      <c r="Q53" s="409"/>
      <c r="S53" s="22"/>
    </row>
    <row r="54" spans="1:19" ht="45" customHeight="1">
      <c r="A54" s="37"/>
      <c r="B54" s="37" t="s">
        <v>180</v>
      </c>
      <c r="C54" s="327">
        <v>43040</v>
      </c>
      <c r="D54" s="37"/>
      <c r="E54" s="37"/>
      <c r="F54" s="37"/>
      <c r="G54" s="37"/>
      <c r="S54" s="22"/>
    </row>
    <row r="55" spans="1:19" ht="19.5" customHeight="1">
      <c r="J55" s="10"/>
      <c r="K55" s="10"/>
      <c r="L55" s="362"/>
      <c r="M55" s="362"/>
      <c r="N55" s="11"/>
      <c r="O55" s="11"/>
      <c r="P55" s="11"/>
      <c r="S55" s="23"/>
    </row>
  </sheetData>
  <mergeCells count="50">
    <mergeCell ref="AN43:AN44"/>
    <mergeCell ref="AO43:AR43"/>
    <mergeCell ref="P51:Q51"/>
    <mergeCell ref="P52:Q52"/>
    <mergeCell ref="P53:Q53"/>
    <mergeCell ref="AE43:AH43"/>
    <mergeCell ref="AI43:AI44"/>
    <mergeCell ref="AJ43:AM43"/>
    <mergeCell ref="T43:T44"/>
    <mergeCell ref="U43:X43"/>
    <mergeCell ref="Y43:Y44"/>
    <mergeCell ref="Z43:AC43"/>
    <mergeCell ref="AD43:AD44"/>
    <mergeCell ref="A12:C12"/>
    <mergeCell ref="A15:C15"/>
    <mergeCell ref="A35:C35"/>
    <mergeCell ref="A40:C40"/>
    <mergeCell ref="A30:C30"/>
    <mergeCell ref="A20:C20"/>
    <mergeCell ref="A24:C24"/>
    <mergeCell ref="I9:M9"/>
    <mergeCell ref="H51:M51"/>
    <mergeCell ref="N51:O51"/>
    <mergeCell ref="N52:O52"/>
    <mergeCell ref="N53:O53"/>
    <mergeCell ref="L55:M55"/>
    <mergeCell ref="B48:C48"/>
    <mergeCell ref="D48:E48"/>
    <mergeCell ref="F48:H48"/>
    <mergeCell ref="B49:H49"/>
    <mergeCell ref="B50:H50"/>
    <mergeCell ref="B51:F51"/>
    <mergeCell ref="H52:M52"/>
    <mergeCell ref="H53:M53"/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</mergeCells>
  <conditionalFormatting sqref="AN43:AO43 AO44:AR44 U44:X44 T43:U43 Z44:AC44 AI43:AJ43 AJ44:AM44 AE44:AH44 AD43:AE43 Y43:Z43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topLeftCell="A9" zoomScale="80" zoomScaleNormal="80" workbookViewId="0">
      <selection activeCell="D15" sqref="D15"/>
    </sheetView>
  </sheetViews>
  <sheetFormatPr defaultRowHeight="1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>
      <c r="A1" s="170"/>
      <c r="B1" s="171"/>
      <c r="C1" s="170"/>
      <c r="D1" s="170"/>
      <c r="E1" s="170"/>
      <c r="F1" s="170"/>
      <c r="G1" s="170"/>
      <c r="H1" s="169" t="s">
        <v>0</v>
      </c>
    </row>
    <row r="2" spans="1:8">
      <c r="A2" s="170"/>
      <c r="B2" s="171"/>
      <c r="C2" s="170"/>
      <c r="D2" s="415" t="str">
        <f>'Расчет с 30% снижением'!N2</f>
        <v>Заместитель директора
по инвестиционной деятельности
филиала ПАО "МРСК Северо-Запада" "Комиэнерго"</v>
      </c>
      <c r="E2" s="415"/>
      <c r="F2" s="415"/>
      <c r="G2" s="415"/>
      <c r="H2" s="415"/>
    </row>
    <row r="3" spans="1:8">
      <c r="A3" s="172"/>
      <c r="B3" s="173"/>
      <c r="C3" s="174"/>
      <c r="D3" s="415"/>
      <c r="E3" s="415"/>
      <c r="F3" s="415"/>
      <c r="G3" s="415"/>
      <c r="H3" s="415"/>
    </row>
    <row r="4" spans="1:8">
      <c r="A4" s="172"/>
      <c r="B4" s="175"/>
      <c r="C4" s="176"/>
      <c r="D4" s="415"/>
      <c r="E4" s="415"/>
      <c r="F4" s="415"/>
      <c r="G4" s="415"/>
      <c r="H4" s="415"/>
    </row>
    <row r="5" spans="1:8" ht="72" customHeight="1">
      <c r="A5" s="172"/>
      <c r="B5" s="175"/>
      <c r="C5" s="176"/>
      <c r="D5" s="177"/>
      <c r="E5" s="177"/>
      <c r="F5" s="178"/>
      <c r="G5" s="178"/>
      <c r="H5" s="179" t="s">
        <v>86</v>
      </c>
    </row>
    <row r="6" spans="1:8" ht="34.5" customHeight="1">
      <c r="A6" s="416" t="str">
        <f>'Расчет с 30% снижением'!A7</f>
        <v>Сметный расчет по ИП №G_000-55-1-03.13-1627 Техническое перевооружение ПС 110/10 кВ «Визинга»: замена МВ 110 кВ ВЛ №196 на элегазовый выключатель 110 кВ в с. Визинга Сысольского района Республики Коми (ЮЭС)</v>
      </c>
      <c r="B6" s="416"/>
      <c r="C6" s="416"/>
      <c r="D6" s="416"/>
      <c r="E6" s="416"/>
      <c r="F6" s="416"/>
      <c r="G6" s="416"/>
      <c r="H6" s="416"/>
    </row>
    <row r="7" spans="1:8">
      <c r="A7" s="4"/>
      <c r="B7" s="175"/>
      <c r="C7" s="5"/>
      <c r="D7" s="5"/>
      <c r="E7" s="5"/>
      <c r="F7" s="5"/>
      <c r="G7" s="5"/>
      <c r="H7" s="5"/>
    </row>
    <row r="8" spans="1:8" ht="15.75" thickBot="1">
      <c r="A8" s="417" t="s">
        <v>179</v>
      </c>
      <c r="B8" s="417"/>
      <c r="C8" s="417"/>
      <c r="D8" s="417"/>
      <c r="E8" s="417"/>
      <c r="F8" s="417"/>
      <c r="G8" s="417"/>
      <c r="H8" s="417"/>
    </row>
    <row r="9" spans="1:8" ht="15.75" thickBot="1">
      <c r="A9" s="418" t="s">
        <v>1</v>
      </c>
      <c r="B9" s="420" t="s">
        <v>51</v>
      </c>
      <c r="C9" s="422" t="s">
        <v>52</v>
      </c>
      <c r="D9" s="424" t="s">
        <v>53</v>
      </c>
      <c r="E9" s="425"/>
      <c r="F9" s="425"/>
      <c r="G9" s="425"/>
      <c r="H9" s="426" t="s">
        <v>9</v>
      </c>
    </row>
    <row r="10" spans="1:8" ht="21.75" thickBot="1">
      <c r="A10" s="419"/>
      <c r="B10" s="421"/>
      <c r="C10" s="423"/>
      <c r="D10" s="180" t="s">
        <v>5</v>
      </c>
      <c r="E10" s="181" t="s">
        <v>6</v>
      </c>
      <c r="F10" s="181" t="s">
        <v>7</v>
      </c>
      <c r="G10" s="182" t="s">
        <v>8</v>
      </c>
      <c r="H10" s="427"/>
    </row>
    <row r="11" spans="1:8" ht="15.75" thickBot="1">
      <c r="A11" s="183">
        <v>1</v>
      </c>
      <c r="B11" s="184">
        <v>2</v>
      </c>
      <c r="C11" s="185">
        <v>3</v>
      </c>
      <c r="D11" s="186">
        <v>4</v>
      </c>
      <c r="E11" s="187">
        <v>5</v>
      </c>
      <c r="F11" s="187">
        <v>6</v>
      </c>
      <c r="G11" s="188">
        <v>7</v>
      </c>
      <c r="H11" s="189">
        <v>8</v>
      </c>
    </row>
    <row r="12" spans="1:8">
      <c r="A12" s="435" t="s">
        <v>10</v>
      </c>
      <c r="B12" s="429"/>
      <c r="C12" s="430"/>
      <c r="D12" s="260"/>
      <c r="E12" s="261"/>
      <c r="F12" s="261"/>
      <c r="G12" s="261"/>
      <c r="H12" s="262"/>
    </row>
    <row r="13" spans="1:8">
      <c r="A13" s="190"/>
      <c r="B13" s="191" t="s">
        <v>11</v>
      </c>
      <c r="C13" s="192" t="s">
        <v>89</v>
      </c>
      <c r="D13" s="263"/>
      <c r="E13" s="155"/>
      <c r="F13" s="155"/>
      <c r="G13" s="155">
        <f>'Расчет с 30% снижением'!L13</f>
        <v>0</v>
      </c>
      <c r="H13" s="264">
        <f>SUM(D13:G13)</f>
        <v>0</v>
      </c>
    </row>
    <row r="14" spans="1:8">
      <c r="A14" s="428" t="s">
        <v>13</v>
      </c>
      <c r="B14" s="429"/>
      <c r="C14" s="430"/>
      <c r="D14" s="265"/>
      <c r="E14" s="266"/>
      <c r="F14" s="266"/>
      <c r="G14" s="266"/>
      <c r="H14" s="267"/>
    </row>
    <row r="15" spans="1:8">
      <c r="A15" s="190">
        <v>1</v>
      </c>
      <c r="B15" s="191" t="s">
        <v>11</v>
      </c>
      <c r="C15" s="193" t="s">
        <v>183</v>
      </c>
      <c r="D15" s="268">
        <f>'Расчет с 30% снижением'!I16</f>
        <v>82.604827586206895</v>
      </c>
      <c r="E15" s="155">
        <f>'Расчет с 30% снижением'!J16</f>
        <v>176.00496551724137</v>
      </c>
      <c r="F15" s="155">
        <f>'Расчет с 30% снижением'!K16</f>
        <v>827.10280373831768</v>
      </c>
      <c r="G15" s="155">
        <v>0</v>
      </c>
      <c r="H15" s="264">
        <f t="shared" ref="H15:H23" si="0">SUM(D15:G15)</f>
        <v>1085.7125968417658</v>
      </c>
    </row>
    <row r="16" spans="1:8" ht="15" hidden="1" customHeight="1">
      <c r="A16" s="436" t="s">
        <v>54</v>
      </c>
      <c r="B16" s="437"/>
      <c r="C16" s="438"/>
      <c r="D16" s="269"/>
      <c r="E16" s="270"/>
      <c r="F16" s="270"/>
      <c r="G16" s="270"/>
      <c r="H16" s="264">
        <f t="shared" si="0"/>
        <v>0</v>
      </c>
    </row>
    <row r="17" spans="1:8" hidden="1">
      <c r="A17" s="194"/>
      <c r="B17" s="195"/>
      <c r="C17" s="196"/>
      <c r="D17" s="269"/>
      <c r="E17" s="270"/>
      <c r="F17" s="270"/>
      <c r="G17" s="270"/>
      <c r="H17" s="264">
        <f t="shared" si="0"/>
        <v>0</v>
      </c>
    </row>
    <row r="18" spans="1:8" hidden="1">
      <c r="A18" s="435" t="s">
        <v>55</v>
      </c>
      <c r="B18" s="429"/>
      <c r="C18" s="430"/>
      <c r="D18" s="269"/>
      <c r="E18" s="270"/>
      <c r="F18" s="270"/>
      <c r="G18" s="270"/>
      <c r="H18" s="264">
        <f t="shared" si="0"/>
        <v>0</v>
      </c>
    </row>
    <row r="19" spans="1:8" hidden="1">
      <c r="A19" s="197"/>
      <c r="B19" s="198"/>
      <c r="C19" s="199"/>
      <c r="D19" s="269"/>
      <c r="E19" s="270"/>
      <c r="F19" s="270"/>
      <c r="G19" s="270"/>
      <c r="H19" s="264">
        <f t="shared" si="0"/>
        <v>0</v>
      </c>
    </row>
    <row r="20" spans="1:8" hidden="1">
      <c r="A20" s="435" t="s">
        <v>56</v>
      </c>
      <c r="B20" s="429"/>
      <c r="C20" s="430"/>
      <c r="D20" s="269"/>
      <c r="E20" s="270"/>
      <c r="F20" s="270"/>
      <c r="G20" s="270"/>
      <c r="H20" s="264">
        <f t="shared" si="0"/>
        <v>0</v>
      </c>
    </row>
    <row r="21" spans="1:8" hidden="1">
      <c r="A21" s="197"/>
      <c r="B21" s="198"/>
      <c r="C21" s="199"/>
      <c r="D21" s="269"/>
      <c r="E21" s="270"/>
      <c r="F21" s="270"/>
      <c r="G21" s="270"/>
      <c r="H21" s="264">
        <f t="shared" si="0"/>
        <v>0</v>
      </c>
    </row>
    <row r="22" spans="1:8" hidden="1">
      <c r="A22" s="428" t="s">
        <v>16</v>
      </c>
      <c r="B22" s="429"/>
      <c r="C22" s="430"/>
      <c r="D22" s="265"/>
      <c r="E22" s="266"/>
      <c r="F22" s="266"/>
      <c r="G22" s="266"/>
      <c r="H22" s="264">
        <f t="shared" si="0"/>
        <v>0</v>
      </c>
    </row>
    <row r="23" spans="1:8">
      <c r="A23" s="331"/>
      <c r="B23" s="332"/>
      <c r="C23" s="333" t="s">
        <v>184</v>
      </c>
      <c r="D23" s="265"/>
      <c r="E23" s="155">
        <f>'Расчет с 30% снижением'!J17</f>
        <v>9.3060689655172411</v>
      </c>
      <c r="F23" s="155">
        <f>'Расчет с 30% снижением'!K17</f>
        <v>9.0151869158878508</v>
      </c>
      <c r="G23" s="266"/>
      <c r="H23" s="264">
        <f t="shared" si="0"/>
        <v>18.321255881405094</v>
      </c>
    </row>
    <row r="24" spans="1:8" ht="30">
      <c r="A24" s="190">
        <v>4</v>
      </c>
      <c r="B24" s="191" t="s">
        <v>57</v>
      </c>
      <c r="C24" s="200" t="s">
        <v>175</v>
      </c>
      <c r="D24" s="268"/>
      <c r="E24" s="155"/>
      <c r="F24" s="155"/>
      <c r="G24" s="155"/>
      <c r="H24" s="271"/>
    </row>
    <row r="25" spans="1:8" ht="16.5" customHeight="1">
      <c r="A25" s="190"/>
      <c r="B25" s="191"/>
      <c r="C25" s="200"/>
      <c r="D25" s="268">
        <f>D15*2%</f>
        <v>1.6520965517241379</v>
      </c>
      <c r="E25" s="155">
        <f>(E15+E23)*2%</f>
        <v>3.7062206896551722</v>
      </c>
      <c r="F25" s="155"/>
      <c r="G25" s="155"/>
      <c r="H25" s="271">
        <f>SUM(D25:G25)</f>
        <v>5.3583172413793099</v>
      </c>
    </row>
    <row r="26" spans="1:8">
      <c r="A26" s="428" t="s">
        <v>19</v>
      </c>
      <c r="B26" s="429"/>
      <c r="C26" s="430"/>
      <c r="D26" s="265"/>
      <c r="E26" s="266"/>
      <c r="F26" s="266"/>
      <c r="G26" s="266"/>
      <c r="H26" s="272"/>
    </row>
    <row r="27" spans="1:8" ht="30">
      <c r="A27" s="197">
        <v>5</v>
      </c>
      <c r="B27" s="191" t="s">
        <v>58</v>
      </c>
      <c r="C27" s="192" t="s">
        <v>76</v>
      </c>
      <c r="D27" s="269"/>
      <c r="E27" s="270"/>
      <c r="F27" s="270"/>
      <c r="G27" s="270"/>
      <c r="H27" s="271"/>
    </row>
    <row r="28" spans="1:8">
      <c r="A28" s="197"/>
      <c r="B28" s="191"/>
      <c r="C28" s="200"/>
      <c r="D28" s="269">
        <f>(D15+D25)*3.52%</f>
        <v>2.9658437296551727</v>
      </c>
      <c r="E28" s="270">
        <f>(E15+E25+E23)*3.52%</f>
        <v>6.6534073820689663</v>
      </c>
      <c r="F28" s="270"/>
      <c r="G28" s="270"/>
      <c r="H28" s="271">
        <f t="shared" ref="H28:H30" si="1">SUM(D28:G28)</f>
        <v>9.6192511117241395</v>
      </c>
    </row>
    <row r="29" spans="1:8">
      <c r="A29" s="197"/>
      <c r="B29" s="230" t="str">
        <f>'Расчет с 30% снижением'!B26</f>
        <v>ССР</v>
      </c>
      <c r="C29" s="192" t="s">
        <v>84</v>
      </c>
      <c r="D29" s="269"/>
      <c r="E29" s="270"/>
      <c r="F29" s="270"/>
      <c r="G29" s="270"/>
      <c r="H29" s="271"/>
    </row>
    <row r="30" spans="1:8">
      <c r="A30" s="197"/>
      <c r="B30" s="191"/>
      <c r="C30" s="200"/>
      <c r="D30" s="269">
        <v>0</v>
      </c>
      <c r="E30" s="270">
        <v>0</v>
      </c>
      <c r="F30" s="270"/>
      <c r="G30" s="270"/>
      <c r="H30" s="271">
        <f t="shared" si="1"/>
        <v>0</v>
      </c>
    </row>
    <row r="31" spans="1:8" ht="21.75" customHeight="1">
      <c r="A31" s="201"/>
      <c r="B31" s="198" t="s">
        <v>14</v>
      </c>
      <c r="C31" s="202" t="s">
        <v>59</v>
      </c>
      <c r="D31" s="273">
        <f>D32</f>
        <v>87.222767867586214</v>
      </c>
      <c r="E31" s="274">
        <f>E32</f>
        <v>195.67066255448276</v>
      </c>
      <c r="F31" s="274">
        <f>SUM(F13:F30)</f>
        <v>836.11799065420553</v>
      </c>
      <c r="G31" s="274">
        <f>SUM(G13:G28)</f>
        <v>0</v>
      </c>
      <c r="H31" s="275">
        <f>SUM(D31:G31)</f>
        <v>1119.0114210762745</v>
      </c>
    </row>
    <row r="32" spans="1:8" ht="20.25" customHeight="1">
      <c r="A32" s="201"/>
      <c r="B32" s="198"/>
      <c r="C32" s="200"/>
      <c r="D32" s="269">
        <f>D15+D25+D28+D30</f>
        <v>87.222767867586214</v>
      </c>
      <c r="E32" s="270">
        <f>E15+E25+E28+E30+E23</f>
        <v>195.67066255448276</v>
      </c>
      <c r="F32" s="270">
        <f>F15+F25+F28+F30+F23</f>
        <v>836.11799065420553</v>
      </c>
      <c r="G32" s="270">
        <f>G13+G15+G25+G28+G30</f>
        <v>0</v>
      </c>
      <c r="H32" s="271">
        <f>SUM(D32:G32)</f>
        <v>1119.0114210762745</v>
      </c>
    </row>
    <row r="33" spans="1:12" ht="30">
      <c r="A33" s="197">
        <v>6</v>
      </c>
      <c r="B33" s="203" t="s">
        <v>60</v>
      </c>
      <c r="C33" s="192" t="s">
        <v>61</v>
      </c>
      <c r="D33" s="269">
        <f>D32*1.5%</f>
        <v>1.3083415180137932</v>
      </c>
      <c r="E33" s="270">
        <f>E32*1.5%</f>
        <v>2.9350599383172411</v>
      </c>
      <c r="F33" s="270">
        <f>F32*1.5%</f>
        <v>12.541769859813082</v>
      </c>
      <c r="G33" s="270">
        <f>G32*1.5%</f>
        <v>0</v>
      </c>
      <c r="H33" s="271">
        <f>D33+E33+F33+G33</f>
        <v>16.785171316144115</v>
      </c>
    </row>
    <row r="34" spans="1:12">
      <c r="A34" s="197"/>
      <c r="B34" s="198" t="s">
        <v>14</v>
      </c>
      <c r="C34" s="192" t="s">
        <v>62</v>
      </c>
      <c r="D34" s="276">
        <f>D31+D33</f>
        <v>88.531109385600004</v>
      </c>
      <c r="E34" s="256">
        <f>E31+E33</f>
        <v>198.6057224928</v>
      </c>
      <c r="F34" s="256">
        <f>F31+F33</f>
        <v>848.65976051401856</v>
      </c>
      <c r="G34" s="256">
        <f>G31+G33</f>
        <v>0</v>
      </c>
      <c r="H34" s="275">
        <f>SUM(D34:G34)</f>
        <v>1135.7965923924185</v>
      </c>
    </row>
    <row r="35" spans="1:12">
      <c r="A35" s="204"/>
      <c r="B35" s="198"/>
      <c r="C35" s="200"/>
      <c r="D35" s="277">
        <f>D32*1.015</f>
        <v>88.531109385600004</v>
      </c>
      <c r="E35" s="248">
        <f>E32*1.015</f>
        <v>198.60572249279997</v>
      </c>
      <c r="F35" s="248">
        <f>F32*1.015</f>
        <v>848.65976051401856</v>
      </c>
      <c r="G35" s="248">
        <f>G32*1.015</f>
        <v>0</v>
      </c>
      <c r="H35" s="271">
        <f t="shared" ref="H35" si="2">SUM(D35:G35)</f>
        <v>1135.7965923924185</v>
      </c>
    </row>
    <row r="36" spans="1:12">
      <c r="A36" s="205"/>
      <c r="B36" s="206"/>
      <c r="C36" s="207" t="s">
        <v>63</v>
      </c>
      <c r="D36" s="278"/>
      <c r="E36" s="279"/>
      <c r="F36" s="279"/>
      <c r="G36" s="279"/>
      <c r="H36" s="264"/>
    </row>
    <row r="37" spans="1:12">
      <c r="A37" s="205"/>
      <c r="B37" s="206"/>
      <c r="C37" s="207" t="s">
        <v>64</v>
      </c>
      <c r="D37" s="277"/>
      <c r="E37" s="248"/>
      <c r="F37" s="248"/>
      <c r="G37" s="248"/>
      <c r="H37" s="264"/>
    </row>
    <row r="38" spans="1:12">
      <c r="A38" s="205"/>
      <c r="B38" s="206"/>
      <c r="C38" s="200"/>
      <c r="D38" s="277">
        <f>6.35</f>
        <v>6.35</v>
      </c>
      <c r="E38" s="248">
        <f>6.35</f>
        <v>6.35</v>
      </c>
      <c r="F38" s="248">
        <v>3.82</v>
      </c>
      <c r="G38" s="248">
        <v>3.42</v>
      </c>
      <c r="H38" s="264"/>
    </row>
    <row r="39" spans="1:12">
      <c r="A39" s="205"/>
      <c r="B39" s="206"/>
      <c r="C39" s="207" t="s">
        <v>65</v>
      </c>
      <c r="D39" s="276">
        <f>SUM(D40:D40)</f>
        <v>562.17254459855997</v>
      </c>
      <c r="E39" s="256">
        <f>SUM(E40:E40)</f>
        <v>1261.1463378292797</v>
      </c>
      <c r="F39" s="256">
        <f>SUM(F40:F40)</f>
        <v>3241.880285163551</v>
      </c>
      <c r="G39" s="256">
        <f>SUM(G40:G40)</f>
        <v>0</v>
      </c>
      <c r="H39" s="280">
        <f>SUM(D39:G39)</f>
        <v>5065.1991675913905</v>
      </c>
    </row>
    <row r="40" spans="1:12">
      <c r="A40" s="205"/>
      <c r="B40" s="206"/>
      <c r="C40" s="200" t="s">
        <v>75</v>
      </c>
      <c r="D40" s="277">
        <f>D35*D38</f>
        <v>562.17254459855997</v>
      </c>
      <c r="E40" s="248">
        <f>E35*E38</f>
        <v>1261.1463378292797</v>
      </c>
      <c r="F40" s="248">
        <f>F35*F38</f>
        <v>3241.880285163551</v>
      </c>
      <c r="G40" s="248">
        <f>G35*G38</f>
        <v>0</v>
      </c>
      <c r="H40" s="264">
        <f>SUM(D40:G40)</f>
        <v>5065.1991675913905</v>
      </c>
    </row>
    <row r="41" spans="1:12" ht="34.5" customHeight="1">
      <c r="A41" s="205"/>
      <c r="B41" s="208" t="s">
        <v>14</v>
      </c>
      <c r="C41" s="209" t="s">
        <v>171</v>
      </c>
      <c r="D41" s="281">
        <f>1.06*1.049*1.143*1.063*1.044*1.046</f>
        <v>1.4753431057568991</v>
      </c>
      <c r="E41" s="282">
        <f>1.06*1.049*1.143*1.063*1.044*1.046</f>
        <v>1.4753431057568991</v>
      </c>
      <c r="F41" s="282">
        <f>1.06*1.049*1.143*1.063*1.044*1.046</f>
        <v>1.4753431057568991</v>
      </c>
      <c r="G41" s="282">
        <f>1.06*1.049*1.143*1.063*1.044*1.046</f>
        <v>1.4753431057568991</v>
      </c>
      <c r="H41" s="264"/>
    </row>
    <row r="42" spans="1:12">
      <c r="A42" s="205"/>
      <c r="B42" s="208"/>
      <c r="C42" s="207" t="s">
        <v>172</v>
      </c>
      <c r="D42" s="273">
        <f>D39*D41</f>
        <v>829.39738791929835</v>
      </c>
      <c r="E42" s="274">
        <f>E39*E41</f>
        <v>1860.623554866989</v>
      </c>
      <c r="F42" s="274">
        <f>F39*F41</f>
        <v>4782.8857284052547</v>
      </c>
      <c r="G42" s="274">
        <f>G39*G41</f>
        <v>0</v>
      </c>
      <c r="H42" s="280">
        <f>SUM(D42:G42)</f>
        <v>7472.906671191542</v>
      </c>
    </row>
    <row r="43" spans="1:12" ht="41.25" customHeight="1">
      <c r="A43" s="205"/>
      <c r="B43" s="208"/>
      <c r="C43" s="209" t="s">
        <v>173</v>
      </c>
      <c r="D43" s="283">
        <v>0.7</v>
      </c>
      <c r="E43" s="284">
        <v>0.7</v>
      </c>
      <c r="F43" s="284">
        <v>0.7</v>
      </c>
      <c r="G43" s="284">
        <v>0.7</v>
      </c>
      <c r="H43" s="264"/>
    </row>
    <row r="44" spans="1:12">
      <c r="A44" s="205"/>
      <c r="B44" s="208"/>
      <c r="C44" s="207" t="s">
        <v>174</v>
      </c>
      <c r="D44" s="273">
        <f>D42*D43</f>
        <v>580.5781715435088</v>
      </c>
      <c r="E44" s="274">
        <f>E42*E43</f>
        <v>1302.4364884068923</v>
      </c>
      <c r="F44" s="274">
        <f>F42*F43</f>
        <v>3348.0200098836781</v>
      </c>
      <c r="G44" s="274">
        <f t="shared" ref="G44" si="3">G42*G43</f>
        <v>0</v>
      </c>
      <c r="H44" s="280">
        <f>SUM(D44:G44)</f>
        <v>5231.0346698340791</v>
      </c>
      <c r="L44" s="221"/>
    </row>
    <row r="45" spans="1:12">
      <c r="A45" s="205"/>
      <c r="B45" s="208"/>
      <c r="C45" s="207" t="s">
        <v>32</v>
      </c>
      <c r="D45" s="285">
        <f>D44*18%</f>
        <v>104.50407087783158</v>
      </c>
      <c r="E45" s="270">
        <f t="shared" ref="E45:G45" si="4">E44*18%</f>
        <v>234.4385679132406</v>
      </c>
      <c r="F45" s="270">
        <f t="shared" si="4"/>
        <v>602.64360177906201</v>
      </c>
      <c r="G45" s="270">
        <f t="shared" si="4"/>
        <v>0</v>
      </c>
      <c r="H45" s="264">
        <f>SUM(D45:G45)</f>
        <v>941.58624057013412</v>
      </c>
    </row>
    <row r="46" spans="1:12" ht="39.75" customHeight="1" thickBot="1">
      <c r="A46" s="205"/>
      <c r="B46" s="208"/>
      <c r="C46" s="209" t="s">
        <v>66</v>
      </c>
      <c r="D46" s="286">
        <f>D44+D45</f>
        <v>685.08224242134042</v>
      </c>
      <c r="E46" s="287">
        <f t="shared" ref="E46:G46" si="5">E44+E45</f>
        <v>1536.8750563201329</v>
      </c>
      <c r="F46" s="287">
        <f t="shared" si="5"/>
        <v>3950.6636116627401</v>
      </c>
      <c r="G46" s="287">
        <f t="shared" si="5"/>
        <v>0</v>
      </c>
      <c r="H46" s="287">
        <f>SUM(D46:G46)</f>
        <v>6172.6209104042136</v>
      </c>
    </row>
    <row r="47" spans="1:12">
      <c r="A47" s="210" t="s">
        <v>14</v>
      </c>
      <c r="B47" s="211" t="s">
        <v>14</v>
      </c>
      <c r="C47" s="212"/>
      <c r="D47" s="431" t="s">
        <v>14</v>
      </c>
      <c r="E47" s="432"/>
      <c r="F47" s="433" t="s">
        <v>14</v>
      </c>
      <c r="G47" s="434"/>
      <c r="H47" s="434"/>
    </row>
    <row r="48" spans="1:12">
      <c r="A48" s="210"/>
      <c r="B48" s="213"/>
      <c r="C48" s="214"/>
      <c r="D48" s="214"/>
      <c r="E48" s="214"/>
      <c r="F48" s="214"/>
      <c r="G48" s="214"/>
      <c r="H48" s="214"/>
    </row>
    <row r="49" spans="1:8">
      <c r="A49" s="210"/>
      <c r="B49" s="215" t="s">
        <v>67</v>
      </c>
      <c r="C49" s="216" t="s">
        <v>35</v>
      </c>
      <c r="E49" s="217" t="s">
        <v>97</v>
      </c>
      <c r="F49" s="73"/>
      <c r="G49" s="73"/>
      <c r="H49" s="73"/>
    </row>
    <row r="50" spans="1:8">
      <c r="A50" s="210"/>
      <c r="B50" s="213"/>
      <c r="C50" s="214"/>
      <c r="D50" s="214"/>
      <c r="E50" s="214"/>
      <c r="F50" s="214"/>
      <c r="G50" s="214"/>
      <c r="H50" s="214"/>
    </row>
    <row r="51" spans="1:8" ht="15.75">
      <c r="A51" s="1"/>
      <c r="B51" s="217" t="s">
        <v>68</v>
      </c>
      <c r="C51" s="218" t="s">
        <v>71</v>
      </c>
      <c r="E51" s="218" t="s">
        <v>96</v>
      </c>
      <c r="F51" s="24"/>
      <c r="G51" s="24"/>
      <c r="H51" s="169"/>
    </row>
    <row r="52" spans="1:8" ht="14.25" customHeight="1">
      <c r="A52" s="1"/>
      <c r="B52" s="219"/>
      <c r="C52" s="1"/>
      <c r="D52" s="1"/>
      <c r="E52" s="1"/>
      <c r="F52" s="1"/>
      <c r="G52" s="169"/>
      <c r="H52" s="169"/>
    </row>
    <row r="53" spans="1:8">
      <c r="A53" s="1"/>
      <c r="C53" s="24"/>
      <c r="D53" s="24"/>
      <c r="E53" s="24"/>
      <c r="F53" s="24"/>
      <c r="G53" s="9"/>
      <c r="H53" s="9"/>
    </row>
    <row r="54" spans="1:8" ht="15.75">
      <c r="A54" s="1"/>
      <c r="B54" s="217" t="s">
        <v>98</v>
      </c>
      <c r="C54" s="218" t="s">
        <v>69</v>
      </c>
      <c r="E54" s="217" t="s">
        <v>70</v>
      </c>
      <c r="F54" s="220"/>
      <c r="G54" s="1"/>
      <c r="H54" s="220"/>
    </row>
  </sheetData>
  <mergeCells count="17">
    <mergeCell ref="A26:C26"/>
    <mergeCell ref="D47:E47"/>
    <mergeCell ref="F47:H47"/>
    <mergeCell ref="A12:C12"/>
    <mergeCell ref="A14:C14"/>
    <mergeCell ref="A16:C16"/>
    <mergeCell ref="A18:C18"/>
    <mergeCell ref="A20:C20"/>
    <mergeCell ref="A22:C22"/>
    <mergeCell ref="D2:H4"/>
    <mergeCell ref="A6:H6"/>
    <mergeCell ref="A8:H8"/>
    <mergeCell ref="A9:A10"/>
    <mergeCell ref="B9:B10"/>
    <mergeCell ref="C9:C10"/>
    <mergeCell ref="D9:G9"/>
    <mergeCell ref="H9:H10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Текущие</vt:lpstr>
      <vt:lpstr>Базовые</vt:lpstr>
      <vt:lpstr>Расчет с 30% снижением</vt:lpstr>
      <vt:lpstr>НМЦ лота</vt:lpstr>
      <vt:lpstr>Базовые!Область_печати</vt:lpstr>
      <vt:lpstr>'Расчет с 30% снижением'!Область_печати</vt:lpstr>
      <vt:lpstr>Текущие!Область_печати</vt:lpstr>
    </vt:vector>
  </TitlesOfParts>
  <Company>Комиэнерго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koms0977</cp:lastModifiedBy>
  <cp:lastPrinted>2017-11-07T11:55:47Z</cp:lastPrinted>
  <dcterms:created xsi:type="dcterms:W3CDTF">2013-08-20T09:15:16Z</dcterms:created>
  <dcterms:modified xsi:type="dcterms:W3CDTF">2017-11-08T07:53:54Z</dcterms:modified>
</cp:coreProperties>
</file>